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05" tabRatio="891" activeTab="0"/>
  </bookViews>
  <sheets>
    <sheet name="Character Record" sheetId="1" r:id="rId1"/>
    <sheet name="Magic Record" sheetId="2" r:id="rId2"/>
    <sheet name="Alchemist" sheetId="3" r:id="rId3"/>
    <sheet name="Assassin" sheetId="4" r:id="rId4"/>
    <sheet name="Astrologer" sheetId="5" r:id="rId5"/>
    <sheet name="Beast Master" sheetId="6" r:id="rId6"/>
    <sheet name="Courtesan" sheetId="7" r:id="rId7"/>
    <sheet name=" Healer" sheetId="8" r:id="rId8"/>
    <sheet name="Mechanician" sheetId="9" r:id="rId9"/>
    <sheet name="Merchant" sheetId="10" r:id="rId10"/>
    <sheet name="Military Scientist" sheetId="11" r:id="rId11"/>
    <sheet name="Navigator" sheetId="12" r:id="rId12"/>
    <sheet name="Ranger" sheetId="13" r:id="rId13"/>
    <sheet name="Spy" sheetId="14" r:id="rId14"/>
    <sheet name="Thief" sheetId="15" r:id="rId15"/>
    <sheet name="Troubador" sheetId="16" r:id="rId16"/>
    <sheet name="Skills" sheetId="17" r:id="rId17"/>
    <sheet name="Armor" sheetId="18" r:id="rId18"/>
    <sheet name="Combat Skills" sheetId="19" r:id="rId19"/>
    <sheet name="More Tables" sheetId="20" r:id="rId20"/>
  </sheets>
  <definedNames>
    <definedName name="AG">'Character Record'!$L$3</definedName>
    <definedName name="ArmAGLoss">'Armor'!$D$3:$D$10</definedName>
    <definedName name="ArmorTypes">'Armor'!$A$2:$A$10</definedName>
    <definedName name="ArmProt">'Armor'!$C$3:$C$10</definedName>
    <definedName name="ArmRaceMult">'More Tables'!$B$2:$B$9</definedName>
    <definedName name="ArmSexAdj">'Armor'!$B$24:$B$25</definedName>
    <definedName name="ArmStealthAdj">'Armor'!$E$3:$E$10</definedName>
    <definedName name="ArmWgt">'Armor'!$B$3:$B$10</definedName>
    <definedName name="Base_Chance">'Combat Skills'!$P$3:$P$73</definedName>
    <definedName name="Class">'Combat Skills'!$R$3:$R$73</definedName>
    <definedName name="CombatCosts">'Combat Skills'!$AC$3:$AM$73</definedName>
    <definedName name="CombatRanks">'Combat Skills'!$AC$2:$AM$2</definedName>
    <definedName name="CombatSkills">'Combat Skills'!$B$2:$B$73</definedName>
    <definedName name="Dam">'Combat Skills'!$Q$3:$Q$73</definedName>
    <definedName name="DEF">'Character Record'!$P$5</definedName>
    <definedName name="EN">'Character Record'!$R$3</definedName>
    <definedName name="EncAGLoss">'More Tables'!$C$24:$M$24</definedName>
    <definedName name="EncLoad">'More Tables'!$C$14:$M$23</definedName>
    <definedName name="EncPS">'More Tables'!$A$14:$A$23</definedName>
    <definedName name="EXM">'Character Record'!$Q$53</definedName>
    <definedName name="FTCalcEN">'More Tables'!$A$35:$A$43</definedName>
    <definedName name="FTCalcFT">'More Tables'!$C$35:$C$43</definedName>
    <definedName name="FTCalcSexAdj">'Armor'!$C$24:$C$25</definedName>
    <definedName name="MA">'Character Record'!$N$3</definedName>
    <definedName name="MD">'Character Record'!$J$3</definedName>
    <definedName name="modAG">'Character Record'!$L$2</definedName>
    <definedName name="modMD">'Character Record'!$J$2</definedName>
    <definedName name="PC">'Character Record'!$J$4</definedName>
    <definedName name="_xlnm.Print_Area" localSheetId="0">'Character Record'!$A$1:$R$53</definedName>
    <definedName name="_xlnm.Print_Area" localSheetId="6">'Courtesan'!$A$1:$I$16</definedName>
    <definedName name="_xlnm.Print_Area" localSheetId="1">'Magic Record'!$A$1:$J$40</definedName>
    <definedName name="_xlnm.Print_Area" localSheetId="12">'Ranger'!$A$1:$O$21</definedName>
    <definedName name="_xlnm.Print_Area" localSheetId="15">'Troubador'!$A$1:$J$18</definedName>
    <definedName name="PS">'Character Record'!$H$3</definedName>
    <definedName name="PS_Req">'Combat Skills'!$N$3:$N$73</definedName>
    <definedName name="RaceAGadj">'More Tables'!$E$2:$E$9</definedName>
    <definedName name="RaceExpMult">'More Tables'!$D$2:$D$9</definedName>
    <definedName name="RaceFTAdj">'More Tables'!$G$2:$G$9</definedName>
    <definedName name="RacePCAdj">'More Tables'!$H$2:$H$9</definedName>
    <definedName name="Races">'More Tables'!$A$2:$A$9</definedName>
    <definedName name="RaceStealthAdj">'More Tables'!$C$2:$C$9</definedName>
    <definedName name="RaceTMRAdj">'More Tables'!$F$2:$F$9</definedName>
    <definedName name="Range">'Combat Skills'!$S$3:$S$73</definedName>
    <definedName name="SC">'Alchemist'!$D$22:$D$25</definedName>
    <definedName name="Sexes">'Armor'!$A$24:$A$25</definedName>
    <definedName name="ShDef">'Armor'!$C$15:$C$20</definedName>
    <definedName name="ShieldSkill">IF('Character Record'!$Z$10&gt;1,IF(INDEX(ShieldTypes,'Character Record'!$Z$10)="Main-Gauche","Main-Gauche","Shield"),"")</definedName>
    <definedName name="ShieldTypes">'Armor'!$A$14:$A$20</definedName>
    <definedName name="ShMDLoss">'Armor'!$D$15:$D$20</definedName>
    <definedName name="ShWgt">'Armor'!$B$15:$B$20</definedName>
    <definedName name="SkillCosts">'Skills'!$O$3:$Y$29</definedName>
    <definedName name="SkillRanks">'Skills'!$O$2:$Y$2</definedName>
    <definedName name="Skills">'Skills'!$A$2:$A$29</definedName>
    <definedName name="StrBonus">IF('Character Record'!$H$3&gt;15,'Character Record'!$H$3-15,0)</definedName>
    <definedName name="TMRcalcAG">'More Tables'!$E$35:$E$42</definedName>
    <definedName name="TMRcalcTMR">'More Tables'!$G$35:$G$42</definedName>
    <definedName name="Unarmed">72</definedName>
    <definedName name="Use">'Combat Skills'!$T$3:$T$73</definedName>
    <definedName name="W1_Rank">'Character Record'!$AF$7</definedName>
    <definedName name="W1_Str">'Character Record'!$AE$7</definedName>
    <definedName name="W2_Rank">'Character Record'!$AF$8</definedName>
    <definedName name="W2_Str">'Character Record'!$AE$8</definedName>
    <definedName name="W3_Rank">'Character Record'!$AF$9</definedName>
    <definedName name="W3_Str">'Character Record'!$AE$9</definedName>
    <definedName name="W4_Rank">'Character Record'!$AF$10</definedName>
    <definedName name="W4_Str">'Character Record'!$AE$10</definedName>
    <definedName name="Wgt">'Combat Skills'!$O$3:$O$73</definedName>
    <definedName name="WgtAGMod">'Character Record'!$Q$47</definedName>
    <definedName name="WgtCarried">'Character Record'!$Q$46</definedName>
    <definedName name="WP">'Character Record'!$P$3</definedName>
  </definedNames>
  <calcPr fullCalcOnLoad="1"/>
</workbook>
</file>

<file path=xl/sharedStrings.xml><?xml version="1.0" encoding="utf-8"?>
<sst xmlns="http://schemas.openxmlformats.org/spreadsheetml/2006/main" count="1425" uniqueCount="806">
  <si>
    <t>May mix chemicals at rank 3 and gain an aditional ability at rank 5,7,9.  If the rank is not enough or not in a lab, a NA will appear</t>
  </si>
  <si>
    <t>If fail, +10 to natural cure roll, this costs</t>
  </si>
  <si>
    <t xml:space="preserve">takes </t>
  </si>
  <si>
    <t>hours/ dose and is worth</t>
  </si>
  <si>
    <t>sp to make, max 3 doses / day</t>
  </si>
  <si>
    <t>takes</t>
  </si>
  <si>
    <t>Patient lives for</t>
  </si>
  <si>
    <t>days, and takes</t>
  </si>
  <si>
    <t>hours, one-half of the organ must exist</t>
  </si>
  <si>
    <t>Healing Abilities Per Rank</t>
  </si>
  <si>
    <t>Empathy</t>
  </si>
  <si>
    <t>Soothe Pain, Prolong life</t>
  </si>
  <si>
    <t>Heal Wounds, Transfer Fatgue</t>
  </si>
  <si>
    <t>Neutralize Poison, Graft Skin</t>
  </si>
  <si>
    <t>Repair Muscle, Preserve Dead</t>
  </si>
  <si>
    <t>Repair Bones</t>
  </si>
  <si>
    <t>Repair Tissue and Organs</t>
  </si>
  <si>
    <t>Resurrect Dead</t>
  </si>
  <si>
    <t>Regenerate Limbs and Joints</t>
  </si>
  <si>
    <t>Regenerate  Vital Organs</t>
  </si>
  <si>
    <t>Cure Infection and Disease</t>
  </si>
  <si>
    <t>sec observance</t>
  </si>
  <si>
    <t xml:space="preserve">Raise stealth </t>
  </si>
  <si>
    <t>Raise stealth</t>
  </si>
  <si>
    <t>Percent</t>
  </si>
  <si>
    <t>The spy must concentrate for</t>
  </si>
  <si>
    <t>sec</t>
  </si>
  <si>
    <t>Giant Mace</t>
  </si>
  <si>
    <t>War Hammer</t>
  </si>
  <si>
    <t>War Pick</t>
  </si>
  <si>
    <t>Flail</t>
  </si>
  <si>
    <t>Morningstar</t>
  </si>
  <si>
    <t>Mattock</t>
  </si>
  <si>
    <t>Sap</t>
  </si>
  <si>
    <t>Quarterstaff</t>
  </si>
  <si>
    <t>Pole Arms</t>
  </si>
  <si>
    <t>Javelin</t>
  </si>
  <si>
    <t>Spear</t>
  </si>
  <si>
    <t>Giant Spear</t>
  </si>
  <si>
    <t>Pike</t>
  </si>
  <si>
    <t>Lance</t>
  </si>
  <si>
    <t>Halberd</t>
  </si>
  <si>
    <t>Poleaxe</t>
  </si>
  <si>
    <t>Trident</t>
  </si>
  <si>
    <t>Glaive</t>
  </si>
  <si>
    <t>Giant Glaive</t>
  </si>
  <si>
    <t>Missile Weapons</t>
  </si>
  <si>
    <t>Sling</t>
  </si>
  <si>
    <t>Perception</t>
  </si>
  <si>
    <t>Specialitation</t>
  </si>
  <si>
    <t>Cavern</t>
  </si>
  <si>
    <t>Crypt</t>
  </si>
  <si>
    <t>Field</t>
  </si>
  <si>
    <t>Marsh</t>
  </si>
  <si>
    <t>Plain</t>
  </si>
  <si>
    <t>Ocean</t>
  </si>
  <si>
    <t>Rough</t>
  </si>
  <si>
    <t>Ruin</t>
  </si>
  <si>
    <t>Woods</t>
  </si>
  <si>
    <t>Special</t>
  </si>
  <si>
    <t>Special Terrian</t>
  </si>
  <si>
    <t xml:space="preserve">Determine true north accuratly to </t>
  </si>
  <si>
    <t>degrees</t>
  </si>
  <si>
    <t xml:space="preserve">Determine distance traveled to </t>
  </si>
  <si>
    <t>weeks of journey</t>
  </si>
  <si>
    <t>Find shortest route to a location</t>
  </si>
  <si>
    <t>accuracy, estimating a max of</t>
  </si>
  <si>
    <t>Detect a trap</t>
  </si>
  <si>
    <t>-7 * Safe Rank</t>
  </si>
  <si>
    <t>-6 * Lock Rank</t>
  </si>
  <si>
    <t>Remove a trap</t>
  </si>
  <si>
    <t>-5 * Trap Rank</t>
  </si>
  <si>
    <t>Find a opening</t>
  </si>
  <si>
    <t>and will find anything within</t>
  </si>
  <si>
    <t>and must sound the walls</t>
  </si>
  <si>
    <t>Pick a pocket</t>
  </si>
  <si>
    <t>Refer to Table at the end for modifiers</t>
  </si>
  <si>
    <t>Recall memory</t>
  </si>
  <si>
    <t>after subtract</t>
  </si>
  <si>
    <t>Scale a wall</t>
  </si>
  <si>
    <t>-Height/10</t>
  </si>
  <si>
    <t>Silver Pennies per year</t>
  </si>
  <si>
    <t>There are no material cost for Rangers</t>
  </si>
  <si>
    <t>Will Power must be at least 15</t>
  </si>
  <si>
    <t>Train an animal for another</t>
  </si>
  <si>
    <t xml:space="preserve"> weeks,  master must be present for 1 day a week, and the other always</t>
  </si>
  <si>
    <t>Total creature types possible</t>
  </si>
  <si>
    <t>Above rank 10, 2500 exp may be used for another creature type</t>
  </si>
  <si>
    <t>Length of time need to train</t>
  </si>
  <si>
    <t>months, look at bottom table for modifiers</t>
  </si>
  <si>
    <t>Loyalty roll, intellegent creature</t>
  </si>
  <si>
    <t>Loyalty roll, wild creature</t>
  </si>
  <si>
    <t>Loyalty roll, calm creature</t>
  </si>
  <si>
    <t xml:space="preserve">Add </t>
  </si>
  <si>
    <t>to all dealings with</t>
  </si>
  <si>
    <t>EXPERIENCE POINTS (to be expended)</t>
  </si>
  <si>
    <t>Female character's formulas for Fatigue and Armor Weight done automatically, you must adjust PS and MD manually.</t>
  </si>
  <si>
    <t>Use a small zoom view factor in you Excel menu to see this sheet better.</t>
  </si>
  <si>
    <t>Click on the Magic Record tab down below to switch to the magic record sheet.</t>
  </si>
  <si>
    <t xml:space="preserve">and will take </t>
  </si>
  <si>
    <t>minutes</t>
  </si>
  <si>
    <t>Medicine successfully working on the user</t>
  </si>
  <si>
    <t>+User's END</t>
  </si>
  <si>
    <t>The pickpocket attempt is made in an uncrowded area and the victim has at least a slight suspicion of the spy or thief's intentions</t>
  </si>
  <si>
    <t>The object to be picpocketed is affixed to the victim's person or is something used constantly during the day by the victim</t>
  </si>
  <si>
    <t>The object to be pickpocketed  makes noise when moved</t>
  </si>
  <si>
    <t>+50%</t>
  </si>
  <si>
    <t>+25%</t>
  </si>
  <si>
    <t>+10%</t>
  </si>
  <si>
    <t>+5%</t>
  </si>
  <si>
    <t>-15%</t>
  </si>
  <si>
    <t>-20%</t>
  </si>
  <si>
    <t>-30%</t>
  </si>
  <si>
    <t>-25%</t>
  </si>
  <si>
    <t>-5%</t>
  </si>
  <si>
    <t>The victim is an assassin, thief or spy:     -(5 * Victim's Rank)</t>
  </si>
  <si>
    <t>Create a spell/talent potion with a adept</t>
  </si>
  <si>
    <t>Create a healing potion with a healer</t>
  </si>
  <si>
    <t>+Base Value sp</t>
  </si>
  <si>
    <t>+Exp multiple*20</t>
  </si>
  <si>
    <t>750+(150*DP/round)</t>
  </si>
  <si>
    <t>sp</t>
  </si>
  <si>
    <t>and is worth</t>
  </si>
  <si>
    <t>Antidote working for a specific stem of poison</t>
  </si>
  <si>
    <t>and will cost</t>
  </si>
  <si>
    <t>sp for the igredients</t>
  </si>
  <si>
    <t>Special Weapons</t>
  </si>
  <si>
    <t>Rock</t>
  </si>
  <si>
    <t>Cestus</t>
  </si>
  <si>
    <t>Detect danger at sea</t>
  </si>
  <si>
    <t>if roll is half of success chance, exact information is given</t>
  </si>
  <si>
    <t>Manual Dex</t>
  </si>
  <si>
    <t>used without error for</t>
  </si>
  <si>
    <t>Astrologer</t>
  </si>
  <si>
    <t>Beast Master</t>
  </si>
  <si>
    <t>Courtesan</t>
  </si>
  <si>
    <t>Healer</t>
  </si>
  <si>
    <t>Mechanician</t>
  </si>
  <si>
    <t>Merchant</t>
  </si>
  <si>
    <t>Military Scientist</t>
  </si>
  <si>
    <t>Navigator</t>
  </si>
  <si>
    <t>Ranger</t>
  </si>
  <si>
    <t>Spy</t>
  </si>
  <si>
    <t>Thief</t>
  </si>
  <si>
    <t>Troubador</t>
  </si>
  <si>
    <t>Weap 1</t>
  </si>
  <si>
    <t>Weap 2</t>
  </si>
  <si>
    <t>Weap 3</t>
  </si>
  <si>
    <r>
      <t xml:space="preserve">&lt;-- Note: FT should </t>
    </r>
    <r>
      <rPr>
        <b/>
        <sz val="14"/>
        <rFont val="Arial"/>
        <family val="2"/>
      </rPr>
      <t>not</t>
    </r>
    <r>
      <rPr>
        <sz val="14"/>
        <rFont val="Arial"/>
        <family val="2"/>
      </rPr>
      <t xml:space="preserve"> change if EN does after character generation!</t>
    </r>
  </si>
  <si>
    <t>Half-Elf</t>
  </si>
  <si>
    <t>PC Adj</t>
  </si>
  <si>
    <t>mod AG</t>
  </si>
  <si>
    <t>AG Adj</t>
  </si>
  <si>
    <t>Notes:</t>
  </si>
  <si>
    <t>1.</t>
  </si>
  <si>
    <t>This table is formatted differently than in the rulebook, but it works out the same.</t>
  </si>
  <si>
    <t>Req:  There are no requirements to become a Healer</t>
  </si>
  <si>
    <t>Must Read and write above rank 6 to go beyond rank 0</t>
  </si>
  <si>
    <t>Building a trap will take</t>
  </si>
  <si>
    <t>and</t>
  </si>
  <si>
    <t>damage is done, plus any acid or poison on the trap</t>
  </si>
  <si>
    <t xml:space="preserve">foot long cone is made with a base of </t>
  </si>
  <si>
    <t>Reset a trap of a rank less then</t>
  </si>
  <si>
    <t xml:space="preserve">this will take </t>
  </si>
  <si>
    <t>Silver a trap for a spell costs</t>
  </si>
  <si>
    <t>*Spell Rank</t>
  </si>
  <si>
    <t>Constructing a lock will take</t>
  </si>
  <si>
    <t>*Trap Rank</t>
  </si>
  <si>
    <t>If a physical trap is sprung</t>
  </si>
  <si>
    <t>If a explosive trap is sprung, a</t>
  </si>
  <si>
    <t>sp for the frame work only</t>
  </si>
  <si>
    <t>and must have any extra materials I.e. poison</t>
  </si>
  <si>
    <t>*Lock Rank</t>
  </si>
  <si>
    <t>Constructing a safe will take</t>
  </si>
  <si>
    <t>*Safe Rank</t>
  </si>
  <si>
    <t>min</t>
  </si>
  <si>
    <t>Max number of traps on a lock is</t>
  </si>
  <si>
    <t>Max number of traps on a safe is</t>
  </si>
  <si>
    <t>on is defined as adjacent of associated with</t>
  </si>
  <si>
    <t>Head building projects and earn</t>
  </si>
  <si>
    <t xml:space="preserve"> per day</t>
  </si>
  <si>
    <t>Remove mechanician's own trap</t>
  </si>
  <si>
    <t>Yearly material cost</t>
  </si>
  <si>
    <t>and will also determine it's use</t>
  </si>
  <si>
    <t>+Patient's END</t>
  </si>
  <si>
    <t>Cure Disease, Fever, of skin irtitaitons</t>
  </si>
  <si>
    <t>after 12 hours foraging and</t>
  </si>
  <si>
    <t>min to apply</t>
  </si>
  <si>
    <t xml:space="preserve">May cure lost Endurace points up to </t>
  </si>
  <si>
    <t>+D10</t>
  </si>
  <si>
    <t>To all actions in</t>
  </si>
  <si>
    <t>add to actions</t>
  </si>
  <si>
    <t>and 10 per stall per year</t>
  </si>
  <si>
    <t>Hand to Hand combat</t>
  </si>
  <si>
    <t>Herbalist</t>
  </si>
  <si>
    <t>Knight</t>
  </si>
  <si>
    <t>Magician</t>
  </si>
  <si>
    <t>Sailor</t>
  </si>
  <si>
    <t>Scholar</t>
  </si>
  <si>
    <t>AG-</t>
  </si>
  <si>
    <t>SHIELD</t>
  </si>
  <si>
    <t>RK</t>
  </si>
  <si>
    <t>%</t>
  </si>
  <si>
    <t>MD-</t>
  </si>
  <si>
    <t>COLLEGE:</t>
  </si>
  <si>
    <t>MAGIC RESISTANCE:</t>
  </si>
  <si>
    <t>Experience spent</t>
  </si>
  <si>
    <t>SKILLS</t>
  </si>
  <si>
    <t>ABILITY</t>
  </si>
  <si>
    <t>EFFECT</t>
  </si>
  <si>
    <t>POSSESSIONS</t>
  </si>
  <si>
    <t>WEIGHT</t>
  </si>
  <si>
    <t>creating character</t>
  </si>
  <si>
    <t>Horsemanship</t>
  </si>
  <si>
    <t>Stealth</t>
  </si>
  <si>
    <t>SPECIAL ABILITIES / CONSIDERATIONS:</t>
  </si>
  <si>
    <t>Dwarf</t>
  </si>
  <si>
    <t>Sex</t>
  </si>
  <si>
    <t>if the thief falls he will suffer height/ 10 endurance squared</t>
  </si>
  <si>
    <t>Thief Pickpocketing Modifiers</t>
  </si>
  <si>
    <t>The victim is unconscious</t>
  </si>
  <si>
    <t>The victim is sleeping or stunned</t>
  </si>
  <si>
    <t>The victim cannot see well in current circumstances (e.g., humans at night)</t>
  </si>
  <si>
    <t>The victim is inebriated</t>
  </si>
  <si>
    <t>F</t>
  </si>
  <si>
    <t>Wgt Mult Adj</t>
  </si>
  <si>
    <t>Weight of Load (lbs)</t>
  </si>
  <si>
    <t>Max</t>
  </si>
  <si>
    <t>Encumbrance</t>
  </si>
  <si>
    <t>PS from</t>
  </si>
  <si>
    <t>to</t>
  </si>
  <si>
    <t>AG Loss</t>
  </si>
  <si>
    <t>OverMax!</t>
  </si>
  <si>
    <t>Wgt Mult</t>
  </si>
  <si>
    <t>Shapechanger</t>
  </si>
  <si>
    <t>Exp Mult</t>
  </si>
  <si>
    <t>TMR Adj</t>
  </si>
  <si>
    <t>FT Adj</t>
  </si>
  <si>
    <t>EN From</t>
  </si>
  <si>
    <t>To</t>
  </si>
  <si>
    <t>Do you have proper materials</t>
  </si>
  <si>
    <t>Proper Material Cell Link</t>
  </si>
  <si>
    <t>Are you in your Lab?</t>
  </si>
  <si>
    <t>In Lab Cell Link</t>
  </si>
  <si>
    <t>Materials will cost 500sp a year</t>
  </si>
  <si>
    <t>A Lab requires 2500sp to construct, and 1000 a year to mantian</t>
  </si>
  <si>
    <t>Discover the use of an uncommon liquid</t>
  </si>
  <si>
    <t>Discover the use of any common liquid</t>
  </si>
  <si>
    <t>Injure oneself while using liquid chemicals</t>
  </si>
  <si>
    <t>Injure oneself with a soild or gas</t>
  </si>
  <si>
    <t>Medicin CL</t>
  </si>
  <si>
    <t>Poison CL</t>
  </si>
  <si>
    <t>Potion CL</t>
  </si>
  <si>
    <t>Medicine RR</t>
  </si>
  <si>
    <t>Poison RR</t>
  </si>
  <si>
    <t>Potion RR</t>
  </si>
  <si>
    <t>Some cells are protected to make sure numbers are in the proper places for calculation.</t>
  </si>
  <si>
    <t>Streetwise</t>
  </si>
  <si>
    <t>If surface has hand/foot holds add +4%/rnk</t>
  </si>
  <si>
    <t>Shield Type</t>
  </si>
  <si>
    <t>Defense/Rank</t>
  </si>
  <si>
    <t>MD Loss</t>
  </si>
  <si>
    <t>Buckler</t>
  </si>
  <si>
    <t>Sm Round</t>
  </si>
  <si>
    <t>Lg Round</t>
  </si>
  <si>
    <t>Kite</t>
  </si>
  <si>
    <t>Tower</t>
  </si>
  <si>
    <t>Race</t>
  </si>
  <si>
    <t>Halfling</t>
  </si>
  <si>
    <t>Elf</t>
  </si>
  <si>
    <t>Orc</t>
  </si>
  <si>
    <t>Human</t>
  </si>
  <si>
    <t>Giant</t>
  </si>
  <si>
    <t>and costs</t>
  </si>
  <si>
    <t>Req:</t>
  </si>
  <si>
    <t>Optional rule 18.5 - Damage due to exceptional PS or Rank see cell AC2.</t>
  </si>
  <si>
    <t xml:space="preserve"> sec observance</t>
  </si>
  <si>
    <r>
      <t xml:space="preserve">Racial experience bonuses for skills (e.g. Ranger skill for elves) are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accounted for. Use cells A31-A35 and U36-U40 for skills where you need to calculate experience spent manually.</t>
    </r>
  </si>
  <si>
    <t>Loyalty roll, domesticated</t>
  </si>
  <si>
    <t>if &lt;2  times greater, balk; if &lt;3 times greater, run; if above 3 times, beserk</t>
  </si>
  <si>
    <t>Intimidation domestication time</t>
  </si>
  <si>
    <t>months, but adds 10 to all loyalty rolls.  Intimidaition involves animal abuse</t>
  </si>
  <si>
    <t>Total creatures trained at one time</t>
  </si>
  <si>
    <t>all creatures must be of the same creature type</t>
  </si>
  <si>
    <t>Materials cost 150 sp + 100 for each animal trained and + 25 for domestication</t>
  </si>
  <si>
    <t>A horse size stable will cost</t>
  </si>
  <si>
    <t>500 sp + 150 sp per stall</t>
  </si>
  <si>
    <t>Yellow = Chance of success  Green = Added pluses that are unable to be precalculated  Purple = Cost in silver pennies</t>
  </si>
  <si>
    <t>Only cells A1 to R53 are printed when you choose to make a hard copy of the sheet.</t>
  </si>
  <si>
    <t>When calculating weight, only put the numbers for what is carried while in combat.</t>
  </si>
  <si>
    <t xml:space="preserve">          CHARACTER RECORD - MAGIC SPELLS</t>
  </si>
  <si>
    <t>Character name:</t>
  </si>
  <si>
    <t>College:</t>
  </si>
  <si>
    <t>Magic Modifiers:</t>
  </si>
  <si>
    <t>Code</t>
  </si>
  <si>
    <t>Name</t>
  </si>
  <si>
    <t>Effect</t>
  </si>
  <si>
    <t>Rk</t>
  </si>
  <si>
    <t>ExpX</t>
  </si>
  <si>
    <t>Base%</t>
  </si>
  <si>
    <t>Skill Quick Calculation</t>
  </si>
  <si>
    <t>Resist</t>
  </si>
  <si>
    <t>Range</t>
  </si>
  <si>
    <t>Total magic experience spent</t>
  </si>
  <si>
    <t>Non-magic Total</t>
  </si>
  <si>
    <t>Main %</t>
  </si>
  <si>
    <t>The amount of mantinence money per year an assassin pays is</t>
  </si>
  <si>
    <t>An assassin can buy poisons without markup</t>
  </si>
  <si>
    <t>people and costs 10 Ft</t>
  </si>
  <si>
    <t>costs 10 Ft, and on failure no more changes may be made</t>
  </si>
  <si>
    <t>times per month and cost 17 Ft</t>
  </si>
  <si>
    <r>
      <t xml:space="preserve">Instead of looking at the weight closest to what you're carrying, look at the </t>
    </r>
    <r>
      <rPr>
        <b/>
        <i/>
        <sz val="12"/>
        <rFont val="Arial"/>
        <family val="2"/>
      </rPr>
      <t>greatest</t>
    </r>
  </si>
  <si>
    <r>
      <t xml:space="preserve">weight that is </t>
    </r>
    <r>
      <rPr>
        <b/>
        <i/>
        <sz val="12"/>
        <rFont val="Arial"/>
        <family val="2"/>
      </rPr>
      <t>less</t>
    </r>
    <r>
      <rPr>
        <i/>
        <sz val="12"/>
        <rFont val="Arial"/>
        <family val="2"/>
      </rPr>
      <t xml:space="preserve"> than what you're carrying.</t>
    </r>
  </si>
  <si>
    <t>Total Exp for Rank</t>
  </si>
  <si>
    <t>Refer to table for modifiers, Patients End if reduced by 1</t>
  </si>
  <si>
    <t>Regenerate severed body parts</t>
  </si>
  <si>
    <t>and will take one day per inch of severed organ</t>
  </si>
  <si>
    <t>Create a new body parts</t>
  </si>
  <si>
    <t>day</t>
  </si>
  <si>
    <t>Ressurection Modifiers</t>
  </si>
  <si>
    <t>Healer is life aspected           +5%</t>
  </si>
  <si>
    <t>Patient is life aspected          +5%</t>
  </si>
  <si>
    <t>Each year life preserved        -1%</t>
  </si>
  <si>
    <t>Patient is death asped           -5%</t>
  </si>
  <si>
    <t>Each day since death             -1%</t>
  </si>
  <si>
    <t>Body suffered 2*total End     -10%</t>
  </si>
  <si>
    <t>Each unsuccess attempt     -10%</t>
  </si>
  <si>
    <t>Potion Base Values</t>
  </si>
  <si>
    <t>Cure Disease</t>
  </si>
  <si>
    <t>Cure Fever</t>
  </si>
  <si>
    <t>Skin Salve</t>
  </si>
  <si>
    <t>Cure Endurance</t>
  </si>
  <si>
    <t>Prolong Life</t>
  </si>
  <si>
    <t>Cure poison</t>
  </si>
  <si>
    <t>minutes of observance and will cost 5 Ft</t>
  </si>
  <si>
    <t>Succuessfuly torture a victim</t>
  </si>
  <si>
    <t>-4 * Victim's WP</t>
  </si>
  <si>
    <t>and will take Victim's WP/</t>
  </si>
  <si>
    <t>Hours</t>
  </si>
  <si>
    <t>The number of attempts made may only reach 1/5 of the victim's endurance before he dies</t>
  </si>
  <si>
    <t>Recall details of last visited location</t>
  </si>
  <si>
    <t>Doses of venom extractable per animal</t>
  </si>
  <si>
    <t>Damage done by synethic posion is D10 +</t>
  </si>
  <si>
    <t xml:space="preserve">per round, and costs </t>
  </si>
  <si>
    <t>sp to make</t>
  </si>
  <si>
    <t>Chance of a victim resisting a nerve agent</t>
  </si>
  <si>
    <t>+Victim's WP</t>
  </si>
  <si>
    <t>+Adept's Rank</t>
  </si>
  <si>
    <t>and will take</t>
  </si>
  <si>
    <t>hours and costs</t>
  </si>
  <si>
    <t>Important note:</t>
  </si>
  <si>
    <t>Main%=Base%+Rank*3+each MA over 15</t>
  </si>
  <si>
    <t xml:space="preserve"> </t>
  </si>
  <si>
    <t>&lt;-- Note: extra magic armor protection could go here</t>
  </si>
  <si>
    <t>&lt;-- Note: extra magic shield protection could go here</t>
  </si>
  <si>
    <t>Unarmed Combat</t>
  </si>
  <si>
    <t>Experience earned</t>
  </si>
  <si>
    <t>Date</t>
  </si>
  <si>
    <t>Amount</t>
  </si>
  <si>
    <t>Total</t>
  </si>
  <si>
    <t>Dagger</t>
  </si>
  <si>
    <t>Main-Gauche</t>
  </si>
  <si>
    <t>Garotte</t>
  </si>
  <si>
    <t>Shield</t>
  </si>
  <si>
    <t>Rank</t>
  </si>
  <si>
    <t>-</t>
  </si>
  <si>
    <t>Wgt</t>
  </si>
  <si>
    <t>Base Chance</t>
  </si>
  <si>
    <t>Dam</t>
  </si>
  <si>
    <t>Class</t>
  </si>
  <si>
    <t>Use</t>
  </si>
  <si>
    <t>A</t>
  </si>
  <si>
    <t>B</t>
  </si>
  <si>
    <t>C</t>
  </si>
  <si>
    <t>P</t>
  </si>
  <si>
    <t>RMC</t>
  </si>
  <si>
    <t>MC</t>
  </si>
  <si>
    <t>M</t>
  </si>
  <si>
    <t>RM</t>
  </si>
  <si>
    <t>R</t>
  </si>
  <si>
    <t>RC</t>
  </si>
  <si>
    <t>Speak Language</t>
  </si>
  <si>
    <t>Read/Write Language</t>
  </si>
  <si>
    <t>Alchemist</t>
  </si>
  <si>
    <t>Assassin</t>
  </si>
  <si>
    <t>Agility</t>
  </si>
  <si>
    <t>Giant Axe</t>
  </si>
  <si>
    <t>Great Axe</t>
  </si>
  <si>
    <t>Crude Club</t>
  </si>
  <si>
    <t>War Club</t>
  </si>
  <si>
    <t>COPPER FARTHINGS(x0.25)</t>
  </si>
  <si>
    <t>Weap 4</t>
  </si>
  <si>
    <t>Str</t>
  </si>
  <si>
    <t>Strength</t>
  </si>
  <si>
    <t>Enter TRUE to</t>
  </si>
  <si>
    <t>add extra damage</t>
  </si>
  <si>
    <t>due to high Strength</t>
  </si>
  <si>
    <t>or Rank (rule 18.5)</t>
  </si>
  <si>
    <t>Scroll Right for Optional Rules --&gt;</t>
  </si>
  <si>
    <t>Armor Type</t>
  </si>
  <si>
    <t>Weight</t>
  </si>
  <si>
    <t>Agility Loss</t>
  </si>
  <si>
    <t>DragonQuest</t>
  </si>
  <si>
    <t>Protection</t>
  </si>
  <si>
    <t>Cloth</t>
  </si>
  <si>
    <t>Leather</t>
  </si>
  <si>
    <t>Scale</t>
  </si>
  <si>
    <t>Chainmail</t>
  </si>
  <si>
    <t>Partial Plate</t>
  </si>
  <si>
    <t>Full Plate</t>
  </si>
  <si>
    <t>Improved Plate</t>
  </si>
  <si>
    <t>Stealth Adj</t>
  </si>
  <si>
    <t>None</t>
  </si>
  <si>
    <t>Climbing</t>
  </si>
  <si>
    <t>Acrobat</t>
  </si>
  <si>
    <t>Yellow = Auto Calculated  Green = Added bonuses that are unable to be precalculated  Blue = Time Required</t>
  </si>
  <si>
    <t>Blue = Time required to preform an operation</t>
  </si>
  <si>
    <t>seconds</t>
  </si>
  <si>
    <t>feet</t>
  </si>
  <si>
    <t>per day</t>
  </si>
  <si>
    <t>In the calculation, unmodified stats are used, as it is asumed that one is unarmed and has removed all burdening weight.</t>
  </si>
  <si>
    <t>Pick a lock</t>
  </si>
  <si>
    <t>Open a safe</t>
  </si>
  <si>
    <t xml:space="preserve">if failed, the ranger may check again in </t>
  </si>
  <si>
    <t>hours</t>
  </si>
  <si>
    <t>Detect an ambush or a trap</t>
  </si>
  <si>
    <t>-5*Rank of Thief setting the trap</t>
  </si>
  <si>
    <t>Track a nonranger, covered tracks</t>
  </si>
  <si>
    <t>Track a ranger who covered tracks</t>
  </si>
  <si>
    <t>-4*Ranger's Rank</t>
  </si>
  <si>
    <t>(*2 if the quarry did not cover tracks)</t>
  </si>
  <si>
    <t>after</t>
  </si>
  <si>
    <t>days</t>
  </si>
  <si>
    <t>Transfer fatigue form self to other</t>
  </si>
  <si>
    <t>this costs 1 Ft. to use</t>
  </si>
  <si>
    <t xml:space="preserve"> Repair torn muscle</t>
  </si>
  <si>
    <t>and must lay on hands for</t>
  </si>
  <si>
    <t>min., if failure, minus 10 from next natrual cure</t>
  </si>
  <si>
    <t>minutes to preform,</t>
  </si>
  <si>
    <t xml:space="preserve">Add to reactions with all animals </t>
  </si>
  <si>
    <t>in specialized enviroment</t>
  </si>
  <si>
    <t>HAND:</t>
  </si>
  <si>
    <t>RANK</t>
  </si>
  <si>
    <t>WEAPON</t>
  </si>
  <si>
    <t>WGT</t>
  </si>
  <si>
    <t>BASE %</t>
  </si>
  <si>
    <t>IV</t>
  </si>
  <si>
    <t>SC</t>
  </si>
  <si>
    <t>DM</t>
  </si>
  <si>
    <t>CL</t>
  </si>
  <si>
    <t>RG</t>
  </si>
  <si>
    <t>USE</t>
  </si>
  <si>
    <t>ARMOR</t>
  </si>
  <si>
    <t>STH</t>
  </si>
  <si>
    <t>PRO</t>
  </si>
  <si>
    <t>SILVER PENNIES(x1)</t>
  </si>
  <si>
    <t>GOLD SHILLINGS(x12)</t>
  </si>
  <si>
    <t>TRUESILVER GUINEAS(x252)</t>
  </si>
  <si>
    <t>EXM</t>
  </si>
  <si>
    <t>Experience multiplier</t>
  </si>
  <si>
    <t>TOTAL VALUE IN SILVER</t>
  </si>
  <si>
    <t>Total (less magic)</t>
  </si>
  <si>
    <t>Magic Total</t>
  </si>
  <si>
    <t>Grand Total</t>
  </si>
  <si>
    <t>If the alchemist is not in a lab, he may not create a medicine, poison, or potion, although he may distill poison</t>
  </si>
  <si>
    <t>Short Bow</t>
  </si>
  <si>
    <t>Long Bow</t>
  </si>
  <si>
    <t>Giant Bow</t>
  </si>
  <si>
    <t>Composite Bow</t>
  </si>
  <si>
    <t>Crossbow</t>
  </si>
  <si>
    <t>Heavy Crossbow</t>
  </si>
  <si>
    <t>Spear Thrower</t>
  </si>
  <si>
    <t>Blowgun</t>
  </si>
  <si>
    <t>Thrown Weapons</t>
  </si>
  <si>
    <t>Throwing Dart</t>
  </si>
  <si>
    <t>Boomerang</t>
  </si>
  <si>
    <t>Grenado</t>
  </si>
  <si>
    <t>Entangling Weapons</t>
  </si>
  <si>
    <t>Net</t>
  </si>
  <si>
    <t>Bola</t>
  </si>
  <si>
    <t>Whip</t>
  </si>
  <si>
    <t>Preform tactile empathy</t>
  </si>
  <si>
    <t>must touch the target</t>
  </si>
  <si>
    <t xml:space="preserve">at the range of </t>
  </si>
  <si>
    <t>Heal fever, desease, or skin</t>
  </si>
  <si>
    <t>+Target's End</t>
  </si>
  <si>
    <t>and takes</t>
  </si>
  <si>
    <t>may only cure synthetic poison if the alchemist was of lower rank</t>
  </si>
  <si>
    <t>Neutralize posion or venom</t>
  </si>
  <si>
    <t>Neutralize posion of higher rank</t>
  </si>
  <si>
    <t>-Alchemist 's Rank</t>
  </si>
  <si>
    <t>Soothe pain with a sporific effect</t>
  </si>
  <si>
    <t>and will last for</t>
  </si>
  <si>
    <t>Prolong a patients life</t>
  </si>
  <si>
    <t>minutes to preform</t>
  </si>
  <si>
    <t>D10+Patient's End +</t>
  </si>
  <si>
    <t>Heal wounds (i.e endurance)</t>
  </si>
  <si>
    <t>and cures</t>
  </si>
  <si>
    <t>D10+</t>
  </si>
  <si>
    <t>Discount on uncommon items</t>
  </si>
  <si>
    <t>Discount on common items</t>
  </si>
  <si>
    <t>Discount on rare items</t>
  </si>
  <si>
    <t>Raise price of uncommon item by</t>
  </si>
  <si>
    <t xml:space="preserve">Raise price of rare items by </t>
  </si>
  <si>
    <t>minutes to complete</t>
  </si>
  <si>
    <t>Assay a common item</t>
  </si>
  <si>
    <t>Assay a uncommon item</t>
  </si>
  <si>
    <t>Assay a rare item</t>
  </si>
  <si>
    <t>All colored squares are calculated automatically.</t>
  </si>
  <si>
    <t>Modifications for Version 4.0 by Alan Holsztynski (major contribution) and Eric Labelle (proofing and very small formula corrections).</t>
  </si>
  <si>
    <t>if miss, the navigator is off by one degree per percentage of miss</t>
  </si>
  <si>
    <t>Find position by landmark</t>
  </si>
  <si>
    <t>Gauge distance from mark</t>
  </si>
  <si>
    <t>Read symbols on a map</t>
  </si>
  <si>
    <t>if the roll is greater than</t>
  </si>
  <si>
    <t>misinformation is given</t>
  </si>
  <si>
    <t>feet long</t>
  </si>
  <si>
    <t>and can get</t>
  </si>
  <si>
    <t>Predict weather at sea</t>
  </si>
  <si>
    <t>the prediction is made at max of</t>
  </si>
  <si>
    <t>hours in the future</t>
  </si>
  <si>
    <t>If a miss roll is even, then the told price will be to high , if the roll is odd, the price will be to low.</t>
  </si>
  <si>
    <t>May specialize in</t>
  </si>
  <si>
    <t>Ancient Writings</t>
  </si>
  <si>
    <t>Antiques</t>
  </si>
  <si>
    <t>Art</t>
  </si>
  <si>
    <t>Books</t>
  </si>
  <si>
    <t>Gems</t>
  </si>
  <si>
    <t>Land</t>
  </si>
  <si>
    <t>Magic-Invested Items</t>
  </si>
  <si>
    <t>Monster and Animal Products</t>
  </si>
  <si>
    <t>Precious Metals</t>
  </si>
  <si>
    <t>Slaves</t>
  </si>
  <si>
    <t>First Specialize</t>
  </si>
  <si>
    <t>Second Specialize</t>
  </si>
  <si>
    <t>Third Specialize</t>
  </si>
  <si>
    <t>Dragon Quest</t>
  </si>
  <si>
    <t>PRIMARY CHARACTERISTICS</t>
  </si>
  <si>
    <t>PS</t>
  </si>
  <si>
    <t>MD</t>
  </si>
  <si>
    <t>AG</t>
  </si>
  <si>
    <t>MA</t>
  </si>
  <si>
    <t>WP</t>
  </si>
  <si>
    <t>EN</t>
  </si>
  <si>
    <t>Total primary characteristics</t>
  </si>
  <si>
    <t>CHARACTER NAME:</t>
  </si>
  <si>
    <t>PC</t>
  </si>
  <si>
    <t>TMR</t>
  </si>
  <si>
    <t>PB</t>
  </si>
  <si>
    <t>DEF</t>
  </si>
  <si>
    <t>FT</t>
  </si>
  <si>
    <t>RACE:</t>
  </si>
  <si>
    <t>SEX:</t>
  </si>
  <si>
    <t>ASPECT:</t>
  </si>
  <si>
    <t>STATUS:</t>
  </si>
  <si>
    <t>BIRTH:</t>
  </si>
  <si>
    <t>Raise damage of a rear hit  by</t>
  </si>
  <si>
    <t>Raise SC of Knock out  with a sap by</t>
  </si>
  <si>
    <t>Raise SC of critical hit in surprise by</t>
  </si>
  <si>
    <t>Raise SC of critical hit in rear shot by</t>
  </si>
  <si>
    <t>Raise SC of critical hit normaly by</t>
  </si>
  <si>
    <t>Raise chance of any stealth action by</t>
  </si>
  <si>
    <t>Materials will cost</t>
  </si>
  <si>
    <t>silver pennies per year</t>
  </si>
  <si>
    <t>silver pennies</t>
  </si>
  <si>
    <t>Will Power</t>
  </si>
  <si>
    <t>An astrologer must read and write at rank 8 before advaning above rank 0</t>
  </si>
  <si>
    <t>Make a general prediction</t>
  </si>
  <si>
    <t>and may only affect</t>
  </si>
  <si>
    <t>Change a general prediction</t>
  </si>
  <si>
    <t>and may only be done</t>
  </si>
  <si>
    <t>Predict anothers aspect after</t>
  </si>
  <si>
    <t>hours, one-half of the muscle must exist</t>
  </si>
  <si>
    <t>Repair Bone</t>
  </si>
  <si>
    <t>hours, one-half of the bone must exist</t>
  </si>
  <si>
    <t>Repair Rissues and Organs</t>
  </si>
  <si>
    <t>he must lay on hands for</t>
  </si>
  <si>
    <t>Preserve the dead</t>
  </si>
  <si>
    <t>doesn't take resurection time for</t>
  </si>
  <si>
    <t>days, this takes</t>
  </si>
  <si>
    <t>Preform non-tactile empathy</t>
  </si>
  <si>
    <t>feet, this cost 1 Ft, Half chance if target Activly Resists</t>
  </si>
  <si>
    <t>Ressurect the dead</t>
  </si>
  <si>
    <t>+Patients End</t>
  </si>
  <si>
    <t>Effectively lead</t>
  </si>
  <si>
    <t>troops into battle</t>
  </si>
  <si>
    <t>Train special guard</t>
  </si>
  <si>
    <t>guards</t>
  </si>
  <si>
    <t>add</t>
  </si>
  <si>
    <t>to all rolls involving guards</t>
  </si>
  <si>
    <t>months</t>
  </si>
  <si>
    <t>to receive</t>
  </si>
  <si>
    <t>Rally trained troops</t>
  </si>
  <si>
    <t>weeks</t>
  </si>
  <si>
    <t>secs</t>
  </si>
  <si>
    <t>-# of Soldiers</t>
  </si>
  <si>
    <t>Must be trained for</t>
  </si>
  <si>
    <t>Can't if fled more than</t>
  </si>
  <si>
    <t>if miss is by</t>
  </si>
  <si>
    <t>Unsure</t>
  </si>
  <si>
    <t>If greater misinformation is given</t>
  </si>
  <si>
    <t>Military Scientist break</t>
  </si>
  <si>
    <t>seconds between each combat round</t>
  </si>
  <si>
    <t>Raise followers WP by</t>
  </si>
  <si>
    <t>and must make a pass action every other round</t>
  </si>
  <si>
    <t>Yearly Upkeep</t>
  </si>
  <si>
    <t>There are no requirements to become a Navigator</t>
  </si>
  <si>
    <t>Short Sword</t>
  </si>
  <si>
    <t>Falchion</t>
  </si>
  <si>
    <t>Scimitar</t>
  </si>
  <si>
    <t>Tulwar</t>
  </si>
  <si>
    <t>Rapier</t>
  </si>
  <si>
    <t>Sabre</t>
  </si>
  <si>
    <t>Broadsword</t>
  </si>
  <si>
    <t>Estoc</t>
  </si>
  <si>
    <t>Hand &amp; A Half</t>
  </si>
  <si>
    <t>Claymore</t>
  </si>
  <si>
    <t>Two-Handed Sword</t>
  </si>
  <si>
    <t>Swords</t>
  </si>
  <si>
    <t>Hafted Weapons</t>
  </si>
  <si>
    <t>Hand Axe</t>
  </si>
  <si>
    <t>Battle Axe</t>
  </si>
  <si>
    <t>Manual Dexterity</t>
  </si>
  <si>
    <t>Preception</t>
  </si>
  <si>
    <t>Giant Club</t>
  </si>
  <si>
    <t>Mace</t>
  </si>
  <si>
    <t>TOTAL WEIGHT</t>
  </si>
  <si>
    <t>AGILITY MODIFIER</t>
  </si>
  <si>
    <t>MONEY</t>
  </si>
  <si>
    <t>AMOUNT</t>
  </si>
  <si>
    <t>VALUE IN SILVER</t>
  </si>
  <si>
    <t xml:space="preserve"> NOTES:</t>
  </si>
  <si>
    <t>The Ultimate Character Sheet Version 3.5 was created by Eric Labelle, go to www.iosphere.net/~eric/dq for updates and other stuff.</t>
  </si>
  <si>
    <t>Modifications for Version 5.0a by Mitchell Harris (major contribution).</t>
  </si>
  <si>
    <t>---</t>
  </si>
  <si>
    <t>Initiative Base</t>
  </si>
  <si>
    <t>STUNNED ON</t>
  </si>
  <si>
    <t>STAT RAISE XP</t>
  </si>
  <si>
    <t>Upkeep will cost</t>
  </si>
  <si>
    <t>silver pennies per month</t>
  </si>
  <si>
    <t xml:space="preserve">has </t>
  </si>
  <si>
    <t>abilities</t>
  </si>
  <si>
    <t>Improve minor magic</t>
  </si>
  <si>
    <t>Improve Illusion magic</t>
  </si>
  <si>
    <t>Highlight In List Below</t>
  </si>
  <si>
    <t>Assess Customs / Habits</t>
  </si>
  <si>
    <t>Add to perception rolls</t>
  </si>
  <si>
    <t>Disguise Self</t>
  </si>
  <si>
    <t>Bardic Voice To Charm</t>
  </si>
  <si>
    <t>- modifiers as below</t>
  </si>
  <si>
    <t>fatigue</t>
  </si>
  <si>
    <t xml:space="preserve">Individuals.  </t>
  </si>
  <si>
    <t>Costs</t>
  </si>
  <si>
    <t>Abilities</t>
  </si>
  <si>
    <t>Disguise Mods</t>
  </si>
  <si>
    <t>Impersonate Own Race: -2*targets PC</t>
  </si>
  <si>
    <t>Impersonate Other Race: -4*targets PC</t>
  </si>
  <si>
    <t>Subtract</t>
  </si>
  <si>
    <t>impersonate opposite sex</t>
  </si>
  <si>
    <t>Check Roll once per hour</t>
  </si>
  <si>
    <t>Sing or Chant</t>
  </si>
  <si>
    <t>Recite Stories or Legends</t>
  </si>
  <si>
    <t>Compose Stories or Legends</t>
  </si>
  <si>
    <t>Perform Mime</t>
  </si>
  <si>
    <t>Mimic Speech</t>
  </si>
  <si>
    <t>Skits and Parodies</t>
  </si>
  <si>
    <t>Tell and Compose Jokes</t>
  </si>
  <si>
    <t>Play an Instrument :</t>
  </si>
  <si>
    <t>Dance</t>
  </si>
  <si>
    <t>Dress Appropriate</t>
  </si>
  <si>
    <t>Emote</t>
  </si>
  <si>
    <t>Acrobactics</t>
  </si>
  <si>
    <t>Amuse Small Children</t>
  </si>
  <si>
    <t>Amuse Small Animals</t>
  </si>
  <si>
    <t>Appear Attractive</t>
  </si>
  <si>
    <t xml:space="preserve">Sing </t>
  </si>
  <si>
    <t>Dress Well</t>
  </si>
  <si>
    <t>Dress Seductively</t>
  </si>
  <si>
    <t>Tell  Jokes</t>
  </si>
  <si>
    <t>Imitate Accents</t>
  </si>
  <si>
    <t>Play a Wind Instrument :</t>
  </si>
  <si>
    <t>Play a String Instrument :</t>
  </si>
  <si>
    <t>Attract Other Cultures</t>
  </si>
  <si>
    <t>Seduction</t>
  </si>
  <si>
    <t>Physical Beauty</t>
  </si>
  <si>
    <t>Nightly Fee</t>
  </si>
  <si>
    <t>Courtier</t>
  </si>
  <si>
    <t>Freely welcome at any social event be it the grandest ball or seediest dive</t>
  </si>
  <si>
    <t>Duration</t>
  </si>
  <si>
    <t>Identify common animal product</t>
  </si>
  <si>
    <t>Identify uncommon  animal product</t>
  </si>
  <si>
    <t>Identify and Find Common Herbs</t>
  </si>
  <si>
    <t>after 12 hours foraging</t>
  </si>
  <si>
    <t>Identify and Find Uncommon Herbs</t>
  </si>
  <si>
    <t>Identify and Find Rare Herbs</t>
  </si>
  <si>
    <t>Identify and Find Very Rare Herbs</t>
  </si>
  <si>
    <t>-2* targets WP</t>
  </si>
  <si>
    <t xml:space="preserve">FATE: </t>
  </si>
  <si>
    <t>Answer a specific question</t>
  </si>
  <si>
    <r>
      <t xml:space="preserve">An astrologer cannot make </t>
    </r>
    <r>
      <rPr>
        <b/>
        <i/>
        <sz val="12"/>
        <rFont val="Arial"/>
        <family val="2"/>
      </rPr>
      <t>predictions</t>
    </r>
    <r>
      <rPr>
        <sz val="12"/>
        <rFont val="Arial"/>
        <family val="0"/>
      </rPr>
      <t xml:space="preserve"> that involve solely him self, and cannot change predictions after they are made.  Specific </t>
    </r>
    <r>
      <rPr>
        <b/>
        <i/>
        <sz val="12"/>
        <rFont val="Arial"/>
        <family val="2"/>
      </rPr>
      <t>questions</t>
    </r>
    <r>
      <rPr>
        <sz val="12"/>
        <rFont val="Arial"/>
        <family val="0"/>
      </rPr>
      <t xml:space="preserve"> are always answered cyrptic, a poem, a riddle, or another obscure format</t>
    </r>
  </si>
  <si>
    <t>The victim wear metal armour or garments</t>
  </si>
  <si>
    <t>maintainance will cost</t>
  </si>
  <si>
    <t>Must read and write in one language at rank 3 to advance beyond rank 3</t>
  </si>
  <si>
    <t>Yellow = Success Chance  Green = Bonuses that cannot be calculated  Blue = Time  Purple = Money</t>
  </si>
  <si>
    <t>The object to be pickpocketed is in a sealed pocket, pouch or compartment</t>
  </si>
  <si>
    <t>Maintenance will cost</t>
  </si>
  <si>
    <t>Must read and write in one language at rank 4 to advance beyond rank 2</t>
  </si>
  <si>
    <t>Boost senses</t>
  </si>
  <si>
    <t>Find orientation via stars</t>
  </si>
  <si>
    <t>Effectively pilot a ship up to</t>
  </si>
  <si>
    <t>% of optimum speed</t>
  </si>
  <si>
    <t>Read and Write in one language above Rank 6 before exceeding Rank 2</t>
  </si>
  <si>
    <t>Perceive enemy tactics</t>
  </si>
  <si>
    <t>Increase Initiative roll by</t>
  </si>
  <si>
    <t>Archaeological Finds</t>
  </si>
  <si>
    <t>Total transactions may not exceed</t>
  </si>
  <si>
    <t>sp per month, all other transactions must be done so normally</t>
  </si>
  <si>
    <t>Jewellery</t>
  </si>
  <si>
    <t>Must read and write in 3 languages above rank 6 to be able to assay items</t>
  </si>
  <si>
    <t>categories</t>
  </si>
  <si>
    <t>hours for the Ritual</t>
  </si>
  <si>
    <t>Must be able to use a sap or garrotte at rank 1 before going above Rank 2</t>
  </si>
  <si>
    <t>Must read and write in one language to advance beyond rank 0</t>
  </si>
  <si>
    <t>CS</t>
  </si>
  <si>
    <t>CS, Ench, G</t>
  </si>
  <si>
    <t>feet and mins</t>
  </si>
  <si>
    <t>CS, Ench, Sp</t>
  </si>
  <si>
    <t>GR</t>
  </si>
  <si>
    <t>rit purification</t>
  </si>
  <si>
    <t>dur =5+r x time spent</t>
  </si>
  <si>
    <t>N</t>
  </si>
  <si>
    <t>rit investment</t>
  </si>
  <si>
    <t>rit warding</t>
  </si>
  <si>
    <t>t-1</t>
  </si>
  <si>
    <t>witch-sight</t>
  </si>
  <si>
    <t>G-1</t>
  </si>
  <si>
    <t>charm</t>
  </si>
  <si>
    <t>feet+hours</t>
  </si>
  <si>
    <t>A&amp;P</t>
  </si>
  <si>
    <t>G-2</t>
  </si>
  <si>
    <t>telekinesis</t>
  </si>
  <si>
    <t>feet+ seconds</t>
  </si>
  <si>
    <t>G-3</t>
  </si>
  <si>
    <t>sleep</t>
  </si>
  <si>
    <t>G-4</t>
  </si>
  <si>
    <t>walk unseen</t>
  </si>
  <si>
    <t>feet+ hours</t>
  </si>
  <si>
    <t>G-5</t>
  </si>
  <si>
    <t>speak to creat</t>
  </si>
  <si>
    <t>feet+ minutes</t>
  </si>
  <si>
    <t>G-6</t>
  </si>
  <si>
    <t>location</t>
  </si>
  <si>
    <t>miles+ hours</t>
  </si>
  <si>
    <t>G-7</t>
  </si>
  <si>
    <t>mass charm</t>
  </si>
  <si>
    <t>feet and conc</t>
  </si>
  <si>
    <t>G-8</t>
  </si>
  <si>
    <t>invisibilty</t>
  </si>
  <si>
    <t>feet and minutes</t>
  </si>
  <si>
    <t>G-9</t>
  </si>
  <si>
    <t>evil eye</t>
  </si>
  <si>
    <t>feet and days, - to SC and MR</t>
  </si>
  <si>
    <t>R1</t>
  </si>
  <si>
    <t>enchant</t>
  </si>
  <si>
    <t>+1 to all dice excpt D100 rolls</t>
  </si>
  <si>
    <t>T</t>
  </si>
  <si>
    <t>14 days</t>
  </si>
  <si>
    <t>R2</t>
  </si>
  <si>
    <t>vision crystal</t>
  </si>
  <si>
    <t>R3</t>
  </si>
  <si>
    <t>sleep dust</t>
  </si>
  <si>
    <t>R4</t>
  </si>
  <si>
    <t>posion dust</t>
  </si>
  <si>
    <t>S-1</t>
  </si>
  <si>
    <t>ventriliquism</t>
  </si>
  <si>
    <t>S-2</t>
  </si>
  <si>
    <t>energy bolt</t>
  </si>
  <si>
    <t xml:space="preserve">feet </t>
  </si>
  <si>
    <t>S-3</t>
  </si>
  <si>
    <t>opening</t>
  </si>
  <si>
    <t>S-4</t>
  </si>
  <si>
    <t>enchant weapon</t>
  </si>
  <si>
    <t>feet and seconds</t>
  </si>
  <si>
    <t>S-5</t>
  </si>
  <si>
    <t>entangle</t>
  </si>
  <si>
    <t>S-6</t>
  </si>
  <si>
    <t>mage lock</t>
  </si>
  <si>
    <t>feet and hours</t>
  </si>
  <si>
    <t>S-7</t>
  </si>
  <si>
    <t>enhance ench</t>
  </si>
  <si>
    <t>S-8</t>
  </si>
  <si>
    <t>levitate</t>
  </si>
  <si>
    <t>S-9</t>
  </si>
  <si>
    <t>enchant armour</t>
  </si>
  <si>
    <t>S-10</t>
  </si>
  <si>
    <t>wizards eye</t>
  </si>
  <si>
    <t>S-11</t>
  </si>
  <si>
    <t>slow</t>
  </si>
  <si>
    <t>S-12</t>
  </si>
  <si>
    <t>quick</t>
  </si>
  <si>
    <t>ENSORCELMENTS AND ENCHANTMENTS</t>
  </si>
  <si>
    <t>Additional Material to 5.0b by J R Davis</t>
  </si>
  <si>
    <t>assassin in this row</t>
  </si>
  <si>
    <t>thief in this row</t>
  </si>
  <si>
    <t>spy in this row</t>
  </si>
  <si>
    <t>military scientist in this row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</si>
</sst>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m/d/yyyy"/>
    <numFmt numFmtId="177" formatCode="\+0;\-0"/>
    <numFmt numFmtId="178" formatCode="\+0;\-0;\-"/>
    <numFmt numFmtId="179" formatCode="0;\-0;;"/>
    <numFmt numFmtId="180" formatCode="0.00;\-0.00;;"/>
  </numFmts>
  <fonts count="2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24"/>
      <name val="Times New Roman"/>
      <family val="1"/>
    </font>
    <font>
      <b/>
      <sz val="28"/>
      <name val="Times New Roman"/>
      <family val="1"/>
    </font>
    <font>
      <i/>
      <sz val="14"/>
      <name val="Arial"/>
      <family val="2"/>
    </font>
    <font>
      <sz val="10"/>
      <name val="Arial"/>
      <family val="2"/>
    </font>
    <font>
      <sz val="10"/>
      <name val="Geneva"/>
      <family val="0"/>
    </font>
    <font>
      <sz val="14"/>
      <name val="Geneva"/>
      <family val="0"/>
    </font>
    <font>
      <sz val="12"/>
      <name val="Times New Roman"/>
      <family val="0"/>
    </font>
    <font>
      <sz val="24"/>
      <name val="Times New Roman"/>
      <family val="0"/>
    </font>
    <font>
      <b/>
      <sz val="9"/>
      <name val="Geneva"/>
      <family val="0"/>
    </font>
    <font>
      <sz val="12"/>
      <name val="Geneva"/>
      <family val="0"/>
    </font>
    <font>
      <sz val="9"/>
      <name val="Geneva"/>
      <family val="0"/>
    </font>
    <font>
      <sz val="8"/>
      <name val="Tahoma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i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5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7" xfId="0" applyFont="1" applyBorder="1" applyAlignment="1">
      <alignment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6" fillId="2" borderId="3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2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6" fillId="2" borderId="39" xfId="0" applyFont="1" applyFill="1" applyBorder="1" applyAlignment="1">
      <alignment horizontal="center"/>
    </xf>
    <xf numFmtId="0" fontId="6" fillId="2" borderId="32" xfId="0" applyFont="1" applyFill="1" applyBorder="1" applyAlignment="1" quotePrefix="1">
      <alignment horizontal="center"/>
    </xf>
    <xf numFmtId="0" fontId="6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5" fillId="0" borderId="4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2" borderId="4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41" xfId="0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4" xfId="0" applyFont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0" fontId="6" fillId="2" borderId="45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32" xfId="0" applyFont="1" applyFill="1" applyBorder="1" applyAlignment="1" quotePrefix="1">
      <alignment/>
    </xf>
    <xf numFmtId="0" fontId="6" fillId="0" borderId="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0" fillId="2" borderId="36" xfId="0" applyFont="1" applyFill="1" applyBorder="1" applyAlignment="1" applyProtection="1">
      <alignment/>
      <protection/>
    </xf>
    <xf numFmtId="0" fontId="0" fillId="2" borderId="32" xfId="0" applyFont="1" applyFill="1" applyBorder="1" applyAlignment="1" quotePrefix="1">
      <alignment horizontal="center"/>
    </xf>
    <xf numFmtId="172" fontId="6" fillId="2" borderId="14" xfId="0" applyNumberFormat="1" applyFont="1" applyFill="1" applyBorder="1" applyAlignment="1">
      <alignment/>
    </xf>
    <xf numFmtId="0" fontId="6" fillId="2" borderId="44" xfId="0" applyFont="1" applyFill="1" applyBorder="1" applyAlignment="1">
      <alignment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/>
    </xf>
    <xf numFmtId="0" fontId="1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27" xfId="0" applyFont="1" applyBorder="1" applyAlignment="1">
      <alignment/>
    </xf>
    <xf numFmtId="0" fontId="6" fillId="0" borderId="39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32" xfId="0" applyFont="1" applyFill="1" applyBorder="1" applyAlignment="1">
      <alignment/>
    </xf>
    <xf numFmtId="0" fontId="5" fillId="0" borderId="32" xfId="0" applyFont="1" applyBorder="1" applyAlignment="1">
      <alignment/>
    </xf>
    <xf numFmtId="0" fontId="3" fillId="0" borderId="0" xfId="0" applyFont="1" applyAlignment="1">
      <alignment/>
    </xf>
    <xf numFmtId="0" fontId="0" fillId="3" borderId="0" xfId="0" applyFill="1" applyAlignment="1">
      <alignment/>
    </xf>
    <xf numFmtId="0" fontId="6" fillId="2" borderId="20" xfId="0" applyNumberFormat="1" applyFont="1" applyFill="1" applyBorder="1" applyAlignment="1">
      <alignment/>
    </xf>
    <xf numFmtId="0" fontId="0" fillId="3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3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2" fillId="0" borderId="32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14" xfId="0" applyFont="1" applyBorder="1" applyAlignment="1">
      <alignment/>
    </xf>
    <xf numFmtId="177" fontId="6" fillId="2" borderId="1" xfId="0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2" borderId="3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5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35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77" fontId="0" fillId="0" borderId="0" xfId="0" applyNumberFormat="1" applyBorder="1" applyAlignment="1">
      <alignment/>
    </xf>
    <xf numFmtId="0" fontId="6" fillId="0" borderId="32" xfId="0" applyFont="1" applyFill="1" applyBorder="1" applyAlignment="1" applyProtection="1">
      <alignment/>
      <protection locked="0"/>
    </xf>
    <xf numFmtId="172" fontId="6" fillId="0" borderId="32" xfId="0" applyNumberFormat="1" applyFont="1" applyFill="1" applyBorder="1" applyAlignment="1" applyProtection="1">
      <alignment/>
      <protection locked="0"/>
    </xf>
    <xf numFmtId="0" fontId="6" fillId="2" borderId="12" xfId="0" applyFont="1" applyFill="1" applyBorder="1" applyAlignment="1" applyProtection="1" quotePrefix="1">
      <alignment horizontal="center"/>
      <protection/>
    </xf>
    <xf numFmtId="0" fontId="6" fillId="4" borderId="43" xfId="0" applyFont="1" applyFill="1" applyBorder="1" applyAlignment="1" applyProtection="1" quotePrefix="1">
      <alignment horizontal="center"/>
      <protection locked="0"/>
    </xf>
    <xf numFmtId="178" fontId="0" fillId="0" borderId="0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5" xfId="0" applyNumberFormat="1" applyBorder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4" fontId="6" fillId="0" borderId="32" xfId="0" applyNumberFormat="1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6" fillId="5" borderId="44" xfId="0" applyFont="1" applyFill="1" applyBorder="1" applyAlignment="1" applyProtection="1">
      <alignment/>
      <protection locked="0"/>
    </xf>
    <xf numFmtId="0" fontId="6" fillId="5" borderId="10" xfId="0" applyFont="1" applyFill="1" applyBorder="1" applyAlignment="1" applyProtection="1">
      <alignment/>
      <protection locked="0"/>
    </xf>
    <xf numFmtId="0" fontId="6" fillId="5" borderId="46" xfId="0" applyFont="1" applyFill="1" applyBorder="1" applyAlignment="1" applyProtection="1">
      <alignment/>
      <protection locked="0"/>
    </xf>
    <xf numFmtId="0" fontId="6" fillId="5" borderId="14" xfId="0" applyFont="1" applyFill="1" applyBorder="1" applyAlignment="1" applyProtection="1">
      <alignment/>
      <protection locked="0"/>
    </xf>
    <xf numFmtId="179" fontId="6" fillId="2" borderId="38" xfId="0" applyNumberFormat="1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 locked="0"/>
    </xf>
    <xf numFmtId="177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/>
    </xf>
    <xf numFmtId="2" fontId="6" fillId="2" borderId="1" xfId="0" applyNumberFormat="1" applyFont="1" applyFill="1" applyBorder="1" applyAlignment="1" applyProtection="1">
      <alignment horizontal="center"/>
      <protection/>
    </xf>
    <xf numFmtId="0" fontId="6" fillId="2" borderId="33" xfId="0" applyFont="1" applyFill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4" fillId="0" borderId="42" xfId="0" applyFont="1" applyBorder="1" applyAlignment="1" applyProtection="1">
      <alignment/>
      <protection/>
    </xf>
    <xf numFmtId="0" fontId="6" fillId="4" borderId="12" xfId="0" applyFont="1" applyFill="1" applyBorder="1" applyAlignment="1" applyProtection="1" quotePrefix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5" fillId="0" borderId="5" xfId="0" applyFont="1" applyBorder="1" applyAlignment="1">
      <alignment/>
    </xf>
    <xf numFmtId="0" fontId="16" fillId="0" borderId="4" xfId="0" applyFont="1" applyBorder="1" applyAlignment="1">
      <alignment/>
    </xf>
    <xf numFmtId="0" fontId="0" fillId="0" borderId="0" xfId="0" applyAlignment="1">
      <alignment vertical="justify"/>
    </xf>
    <xf numFmtId="0" fontId="18" fillId="0" borderId="0" xfId="0" applyFont="1" applyAlignment="1">
      <alignment vertical="justify"/>
    </xf>
    <xf numFmtId="0" fontId="0" fillId="0" borderId="32" xfId="0" applyBorder="1" applyAlignment="1">
      <alignment vertical="center"/>
    </xf>
    <xf numFmtId="0" fontId="19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 wrapText="1"/>
    </xf>
    <xf numFmtId="0" fontId="0" fillId="0" borderId="32" xfId="0" applyBorder="1" applyAlignment="1">
      <alignment horizontal="left"/>
    </xf>
    <xf numFmtId="0" fontId="0" fillId="6" borderId="14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48" xfId="0" applyBorder="1" applyAlignment="1">
      <alignment/>
    </xf>
    <xf numFmtId="0" fontId="0" fillId="7" borderId="32" xfId="0" applyFill="1" applyBorder="1" applyAlignment="1">
      <alignment/>
    </xf>
    <xf numFmtId="0" fontId="0" fillId="6" borderId="32" xfId="0" applyFill="1" applyBorder="1" applyAlignment="1">
      <alignment/>
    </xf>
    <xf numFmtId="0" fontId="0" fillId="6" borderId="44" xfId="0" applyFill="1" applyBorder="1" applyAlignment="1">
      <alignment/>
    </xf>
    <xf numFmtId="0" fontId="0" fillId="7" borderId="44" xfId="0" applyFill="1" applyBorder="1" applyAlignment="1">
      <alignment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32" xfId="0" applyBorder="1" applyAlignment="1" quotePrefix="1">
      <alignment/>
    </xf>
    <xf numFmtId="0" fontId="0" fillId="8" borderId="32" xfId="0" applyFill="1" applyBorder="1" applyAlignment="1">
      <alignment/>
    </xf>
    <xf numFmtId="0" fontId="0" fillId="0" borderId="0" xfId="0" applyBorder="1" applyAlignment="1">
      <alignment horizontal="left"/>
    </xf>
    <xf numFmtId="0" fontId="0" fillId="8" borderId="32" xfId="0" applyFill="1" applyBorder="1" applyAlignment="1">
      <alignment horizontal="center"/>
    </xf>
    <xf numFmtId="0" fontId="0" fillId="0" borderId="44" xfId="0" applyBorder="1" applyAlignment="1">
      <alignment/>
    </xf>
    <xf numFmtId="0" fontId="0" fillId="9" borderId="32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9" borderId="9" xfId="0" applyFill="1" applyBorder="1" applyAlignment="1" quotePrefix="1">
      <alignment horizontal="center"/>
    </xf>
    <xf numFmtId="0" fontId="0" fillId="9" borderId="13" xfId="0" applyFill="1" applyBorder="1" applyAlignment="1" quotePrefix="1">
      <alignment horizontal="center"/>
    </xf>
    <xf numFmtId="0" fontId="0" fillId="4" borderId="32" xfId="0" applyFill="1" applyBorder="1" applyAlignment="1" quotePrefix="1">
      <alignment/>
    </xf>
    <xf numFmtId="0" fontId="0" fillId="0" borderId="44" xfId="0" applyBorder="1" applyAlignment="1">
      <alignment horizontal="center"/>
    </xf>
    <xf numFmtId="0" fontId="15" fillId="0" borderId="3" xfId="0" applyFont="1" applyBorder="1" applyAlignment="1">
      <alignment/>
    </xf>
    <xf numFmtId="0" fontId="0" fillId="6" borderId="46" xfId="0" applyFill="1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48" xfId="0" applyBorder="1" applyAlignment="1">
      <alignment horizontal="center"/>
    </xf>
    <xf numFmtId="0" fontId="0" fillId="7" borderId="14" xfId="0" applyFill="1" applyBorder="1" applyAlignment="1">
      <alignment/>
    </xf>
    <xf numFmtId="0" fontId="0" fillId="0" borderId="0" xfId="0" applyAlignment="1">
      <alignment horizontal="left"/>
    </xf>
    <xf numFmtId="0" fontId="0" fillId="4" borderId="44" xfId="0" applyFill="1" applyBorder="1" applyAlignment="1">
      <alignment/>
    </xf>
    <xf numFmtId="0" fontId="0" fillId="9" borderId="0" xfId="0" applyFill="1" applyBorder="1" applyAlignment="1" quotePrefix="1">
      <alignment horizontal="center"/>
    </xf>
    <xf numFmtId="0" fontId="0" fillId="3" borderId="32" xfId="0" applyFill="1" applyBorder="1" applyAlignment="1" quotePrefix="1">
      <alignment/>
    </xf>
    <xf numFmtId="0" fontId="0" fillId="0" borderId="14" xfId="0" applyBorder="1" applyAlignment="1" quotePrefix="1">
      <alignment/>
    </xf>
    <xf numFmtId="0" fontId="0" fillId="0" borderId="14" xfId="0" applyBorder="1" applyAlignment="1">
      <alignment/>
    </xf>
    <xf numFmtId="0" fontId="0" fillId="6" borderId="14" xfId="0" applyFill="1" applyBorder="1" applyAlignment="1">
      <alignment/>
    </xf>
    <xf numFmtId="0" fontId="0" fillId="7" borderId="46" xfId="0" applyFill="1" applyBorder="1" applyAlignment="1">
      <alignment/>
    </xf>
    <xf numFmtId="0" fontId="0" fillId="7" borderId="11" xfId="0" applyFill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4" borderId="1" xfId="0" applyFill="1" applyBorder="1" applyAlignment="1">
      <alignment horizontal="center"/>
    </xf>
    <xf numFmtId="0" fontId="0" fillId="8" borderId="44" xfId="0" applyFill="1" applyBorder="1" applyAlignment="1">
      <alignment/>
    </xf>
    <xf numFmtId="0" fontId="0" fillId="0" borderId="35" xfId="0" applyBorder="1" applyAlignment="1">
      <alignment horizontal="left"/>
    </xf>
    <xf numFmtId="0" fontId="20" fillId="0" borderId="32" xfId="0" applyFont="1" applyBorder="1" applyAlignment="1">
      <alignment/>
    </xf>
    <xf numFmtId="0" fontId="18" fillId="0" borderId="32" xfId="0" applyFont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0" fillId="8" borderId="14" xfId="0" applyFill="1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 horizontal="center"/>
    </xf>
    <xf numFmtId="0" fontId="0" fillId="4" borderId="32" xfId="0" applyFill="1" applyBorder="1" applyAlignment="1" quotePrefix="1">
      <alignment horizontal="center"/>
    </xf>
    <xf numFmtId="0" fontId="0" fillId="4" borderId="12" xfId="0" applyFill="1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0" borderId="32" xfId="0" applyBorder="1" applyAlignment="1">
      <alignment shrinkToFit="1"/>
    </xf>
    <xf numFmtId="0" fontId="0" fillId="3" borderId="32" xfId="0" applyFill="1" applyBorder="1" applyAlignment="1">
      <alignment/>
    </xf>
    <xf numFmtId="0" fontId="0" fillId="7" borderId="44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/>
    </xf>
    <xf numFmtId="0" fontId="0" fillId="0" borderId="50" xfId="0" applyBorder="1" applyAlignment="1">
      <alignment/>
    </xf>
    <xf numFmtId="0" fontId="0" fillId="4" borderId="32" xfId="0" applyFill="1" applyBorder="1" applyAlignment="1">
      <alignment/>
    </xf>
    <xf numFmtId="0" fontId="0" fillId="6" borderId="46" xfId="0" applyFill="1" applyBorder="1" applyAlignment="1">
      <alignment horizontal="center"/>
    </xf>
    <xf numFmtId="0" fontId="0" fillId="9" borderId="0" xfId="0" applyFill="1" applyBorder="1" applyAlignment="1">
      <alignment/>
    </xf>
    <xf numFmtId="0" fontId="0" fillId="8" borderId="44" xfId="0" applyFill="1" applyBorder="1" applyAlignment="1">
      <alignment horizontal="center"/>
    </xf>
    <xf numFmtId="0" fontId="0" fillId="4" borderId="44" xfId="0" applyFill="1" applyBorder="1" applyAlignment="1" quotePrefix="1">
      <alignment/>
    </xf>
    <xf numFmtId="0" fontId="0" fillId="6" borderId="1" xfId="0" applyFill="1" applyBorder="1" applyAlignment="1">
      <alignment/>
    </xf>
    <xf numFmtId="0" fontId="0" fillId="0" borderId="5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6" borderId="11" xfId="0" applyFill="1" applyBorder="1" applyAlignment="1">
      <alignment/>
    </xf>
    <xf numFmtId="0" fontId="0" fillId="7" borderId="44" xfId="0" applyFill="1" applyBorder="1" applyAlignment="1" quotePrefix="1">
      <alignment/>
    </xf>
    <xf numFmtId="0" fontId="0" fillId="7" borderId="32" xfId="0" applyFill="1" applyBorder="1" applyAlignment="1" quotePrefix="1">
      <alignment/>
    </xf>
    <xf numFmtId="9" fontId="0" fillId="6" borderId="32" xfId="0" applyNumberForma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8" borderId="32" xfId="0" applyFill="1" applyBorder="1" applyAlignment="1">
      <alignment horizontal="left"/>
    </xf>
    <xf numFmtId="0" fontId="0" fillId="9" borderId="32" xfId="0" applyFill="1" applyBorder="1" applyAlignment="1">
      <alignment horizontal="left"/>
    </xf>
    <xf numFmtId="0" fontId="0" fillId="9" borderId="35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4" borderId="1" xfId="0" applyFill="1" applyBorder="1" applyAlignment="1" quotePrefix="1">
      <alignment horizontal="left"/>
    </xf>
    <xf numFmtId="0" fontId="0" fillId="4" borderId="2" xfId="0" applyFill="1" applyBorder="1" applyAlignment="1" quotePrefix="1">
      <alignment horizontal="left"/>
    </xf>
    <xf numFmtId="0" fontId="0" fillId="4" borderId="5" xfId="0" applyFill="1" applyBorder="1" applyAlignment="1" quotePrefix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4" borderId="9" xfId="0" applyFill="1" applyBorder="1" applyAlignment="1">
      <alignment horizontal="left"/>
    </xf>
    <xf numFmtId="0" fontId="0" fillId="7" borderId="32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24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17" xfId="0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39" xfId="0" applyBorder="1" applyAlignment="1">
      <alignment/>
    </xf>
    <xf numFmtId="0" fontId="0" fillId="3" borderId="20" xfId="0" applyFill="1" applyBorder="1" applyAlignment="1">
      <alignment horizontal="left"/>
    </xf>
    <xf numFmtId="0" fontId="0" fillId="3" borderId="36" xfId="0" applyFill="1" applyBorder="1" applyAlignment="1">
      <alignment/>
    </xf>
    <xf numFmtId="0" fontId="0" fillId="0" borderId="36" xfId="0" applyBorder="1" applyAlignment="1">
      <alignment/>
    </xf>
    <xf numFmtId="0" fontId="0" fillId="3" borderId="21" xfId="0" applyFill="1" applyBorder="1" applyAlignment="1">
      <alignment horizontal="left"/>
    </xf>
    <xf numFmtId="0" fontId="0" fillId="3" borderId="50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43" xfId="0" applyFill="1" applyBorder="1" applyAlignment="1">
      <alignment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0" fillId="3" borderId="38" xfId="0" applyFill="1" applyBorder="1" applyAlignment="1">
      <alignment/>
    </xf>
    <xf numFmtId="0" fontId="0" fillId="3" borderId="33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2" xfId="0" applyFont="1" applyBorder="1" applyAlignment="1">
      <alignment/>
    </xf>
    <xf numFmtId="0" fontId="1" fillId="2" borderId="32" xfId="0" applyFont="1" applyFill="1" applyBorder="1" applyAlignment="1" quotePrefix="1">
      <alignment horizontal="center"/>
    </xf>
    <xf numFmtId="0" fontId="24" fillId="2" borderId="41" xfId="0" applyFont="1" applyFill="1" applyBorder="1" applyAlignment="1" applyProtection="1">
      <alignment/>
      <protection/>
    </xf>
    <xf numFmtId="0" fontId="5" fillId="0" borderId="32" xfId="0" applyFont="1" applyBorder="1" applyAlignment="1">
      <alignment/>
    </xf>
    <xf numFmtId="0" fontId="5" fillId="2" borderId="32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6" fillId="6" borderId="57" xfId="0" applyFont="1" applyFill="1" applyBorder="1" applyAlignment="1">
      <alignment/>
    </xf>
    <xf numFmtId="1" fontId="5" fillId="0" borderId="32" xfId="0" applyNumberFormat="1" applyFont="1" applyBorder="1" applyAlignment="1">
      <alignment/>
    </xf>
    <xf numFmtId="0" fontId="5" fillId="2" borderId="32" xfId="0" applyFont="1" applyFill="1" applyBorder="1" applyAlignment="1">
      <alignment/>
    </xf>
    <xf numFmtId="0" fontId="6" fillId="0" borderId="1" xfId="0" applyFont="1" applyFill="1" applyBorder="1" applyAlignment="1" applyProtection="1" quotePrefix="1">
      <alignment horizontal="center"/>
      <protection locked="0"/>
    </xf>
    <xf numFmtId="1" fontId="0" fillId="8" borderId="32" xfId="0" applyNumberForma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35" xfId="0" applyFont="1" applyBorder="1" applyAlignment="1">
      <alignment/>
    </xf>
    <xf numFmtId="0" fontId="0" fillId="10" borderId="0" xfId="0" applyFill="1" applyBorder="1" applyAlignment="1">
      <alignment/>
    </xf>
    <xf numFmtId="0" fontId="0" fillId="4" borderId="0" xfId="0" applyFill="1" applyBorder="1" applyAlignment="1" quotePrefix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 quotePrefix="1">
      <alignment/>
    </xf>
    <xf numFmtId="0" fontId="0" fillId="4" borderId="4" xfId="0" applyFill="1" applyBorder="1" applyAlignment="1">
      <alignment/>
    </xf>
    <xf numFmtId="0" fontId="0" fillId="11" borderId="4" xfId="0" applyFill="1" applyBorder="1" applyAlignment="1">
      <alignment/>
    </xf>
    <xf numFmtId="0" fontId="0" fillId="0" borderId="35" xfId="0" applyFill="1" applyBorder="1" applyAlignment="1">
      <alignment/>
    </xf>
    <xf numFmtId="0" fontId="0" fillId="11" borderId="0" xfId="0" applyFill="1" applyBorder="1" applyAlignment="1">
      <alignment/>
    </xf>
    <xf numFmtId="0" fontId="0" fillId="6" borderId="13" xfId="0" applyFill="1" applyBorder="1" applyAlignment="1">
      <alignment/>
    </xf>
    <xf numFmtId="0" fontId="1" fillId="6" borderId="35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" fillId="6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1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4" xfId="0" applyFill="1" applyBorder="1" applyAlignment="1" quotePrefix="1">
      <alignment/>
    </xf>
    <xf numFmtId="1" fontId="0" fillId="8" borderId="32" xfId="0" applyNumberFormat="1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 quotePrefix="1">
      <alignment/>
      <protection locked="0"/>
    </xf>
    <xf numFmtId="0" fontId="0" fillId="0" borderId="0" xfId="0" applyFont="1" applyBorder="1" applyAlignment="1" applyProtection="1" quotePrefix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" fillId="2" borderId="46" xfId="0" applyFont="1" applyFill="1" applyBorder="1" applyAlignment="1" applyProtection="1">
      <alignment/>
      <protection/>
    </xf>
    <xf numFmtId="0" fontId="1" fillId="0" borderId="0" xfId="0" applyFont="1" applyFill="1" applyBorder="1" applyAlignment="1" quotePrefix="1">
      <alignment horizontal="center"/>
    </xf>
    <xf numFmtId="0" fontId="1" fillId="0" borderId="44" xfId="0" applyFont="1" applyBorder="1" applyAlignment="1">
      <alignment/>
    </xf>
    <xf numFmtId="0" fontId="0" fillId="0" borderId="58" xfId="0" applyBorder="1" applyAlignment="1">
      <alignment horizontal="center"/>
    </xf>
    <xf numFmtId="0" fontId="0" fillId="0" borderId="34" xfId="0" applyBorder="1" applyAlignment="1">
      <alignment horizontal="left"/>
    </xf>
    <xf numFmtId="0" fontId="1" fillId="0" borderId="34" xfId="0" applyFont="1" applyBorder="1" applyAlignment="1">
      <alignment/>
    </xf>
    <xf numFmtId="0" fontId="1" fillId="6" borderId="34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3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42" xfId="0" applyFill="1" applyBorder="1" applyAlignment="1">
      <alignment/>
    </xf>
    <xf numFmtId="1" fontId="0" fillId="12" borderId="32" xfId="0" applyNumberFormat="1" applyFill="1" applyBorder="1" applyAlignment="1">
      <alignment/>
    </xf>
    <xf numFmtId="0" fontId="0" fillId="6" borderId="12" xfId="0" applyFill="1" applyBorder="1" applyAlignment="1">
      <alignment/>
    </xf>
    <xf numFmtId="0" fontId="16" fillId="0" borderId="34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 applyProtection="1">
      <alignment/>
      <protection locked="0"/>
    </xf>
    <xf numFmtId="0" fontId="0" fillId="10" borderId="34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35" xfId="0" applyFill="1" applyBorder="1" applyAlignment="1">
      <alignment/>
    </xf>
    <xf numFmtId="0" fontId="0" fillId="4" borderId="12" xfId="0" applyFill="1" applyBorder="1" applyAlignment="1">
      <alignment/>
    </xf>
    <xf numFmtId="0" fontId="5" fillId="0" borderId="38" xfId="0" applyFont="1" applyBorder="1" applyAlignment="1">
      <alignment/>
    </xf>
    <xf numFmtId="0" fontId="22" fillId="0" borderId="59" xfId="0" applyFont="1" applyBorder="1" applyAlignment="1" applyProtection="1">
      <alignment horizontal="center"/>
      <protection locked="0"/>
    </xf>
    <xf numFmtId="0" fontId="22" fillId="0" borderId="8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1" fillId="2" borderId="29" xfId="0" applyFont="1" applyFill="1" applyBorder="1" applyAlignment="1" quotePrefix="1">
      <alignment horizontal="center"/>
    </xf>
    <xf numFmtId="0" fontId="0" fillId="0" borderId="17" xfId="0" applyFont="1" applyBorder="1" applyAlignment="1" applyProtection="1">
      <alignment horizontal="center"/>
      <protection locked="0"/>
    </xf>
    <xf numFmtId="0" fontId="22" fillId="0" borderId="53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 quotePrefix="1">
      <alignment horizontal="center"/>
      <protection locked="0"/>
    </xf>
    <xf numFmtId="0" fontId="22" fillId="0" borderId="60" xfId="0" applyFont="1" applyBorder="1" applyAlignment="1" applyProtection="1">
      <alignment horizontal="center"/>
      <protection locked="0"/>
    </xf>
    <xf numFmtId="0" fontId="22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 quotePrefix="1">
      <alignment horizontal="center"/>
      <protection locked="0"/>
    </xf>
    <xf numFmtId="0" fontId="1" fillId="2" borderId="48" xfId="0" applyFont="1" applyFill="1" applyBorder="1" applyAlignment="1" quotePrefix="1">
      <alignment horizontal="center"/>
    </xf>
    <xf numFmtId="0" fontId="0" fillId="0" borderId="43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/>
      <protection locked="0"/>
    </xf>
    <xf numFmtId="0" fontId="0" fillId="0" borderId="62" xfId="0" applyFont="1" applyBorder="1" applyAlignment="1" applyProtection="1">
      <alignment/>
      <protection locked="0"/>
    </xf>
    <xf numFmtId="0" fontId="0" fillId="0" borderId="62" xfId="0" applyFont="1" applyBorder="1" applyAlignment="1" applyProtection="1">
      <alignment horizontal="center"/>
      <protection locked="0"/>
    </xf>
    <xf numFmtId="0" fontId="0" fillId="0" borderId="62" xfId="0" applyFont="1" applyBorder="1" applyAlignment="1" applyProtection="1" quotePrefix="1">
      <alignment horizontal="center"/>
      <protection locked="0"/>
    </xf>
    <xf numFmtId="0" fontId="1" fillId="2" borderId="63" xfId="0" applyFont="1" applyFill="1" applyBorder="1" applyAlignment="1" quotePrefix="1">
      <alignment horizontal="center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23" fillId="0" borderId="59" xfId="0" applyFont="1" applyBorder="1" applyAlignment="1" applyProtection="1">
      <alignment horizontal="center"/>
      <protection locked="0"/>
    </xf>
    <xf numFmtId="0" fontId="23" fillId="0" borderId="8" xfId="0" applyFont="1" applyBorder="1" applyAlignment="1" applyProtection="1">
      <alignment/>
      <protection locked="0"/>
    </xf>
    <xf numFmtId="0" fontId="0" fillId="0" borderId="8" xfId="0" applyFont="1" applyBorder="1" applyAlignment="1" applyProtection="1" quotePrefix="1">
      <alignment/>
      <protection locked="0"/>
    </xf>
    <xf numFmtId="0" fontId="23" fillId="0" borderId="53" xfId="0" applyFont="1" applyBorder="1" applyAlignment="1" applyProtection="1">
      <alignment horizontal="center"/>
      <protection locked="0"/>
    </xf>
    <xf numFmtId="0" fontId="23" fillId="0" borderId="5" xfId="0" applyFont="1" applyBorder="1" applyAlignment="1" applyProtection="1">
      <alignment/>
      <protection locked="0"/>
    </xf>
    <xf numFmtId="0" fontId="23" fillId="0" borderId="60" xfId="0" applyFont="1" applyBorder="1" applyAlignment="1" applyProtection="1">
      <alignment horizontal="center"/>
      <protection locked="0"/>
    </xf>
    <xf numFmtId="0" fontId="23" fillId="0" borderId="42" xfId="0" applyFont="1" applyBorder="1" applyAlignment="1" applyProtection="1">
      <alignment/>
      <protection locked="0"/>
    </xf>
    <xf numFmtId="0" fontId="5" fillId="2" borderId="3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80" fontId="6" fillId="2" borderId="1" xfId="0" applyNumberFormat="1" applyFont="1" applyFill="1" applyBorder="1" applyAlignment="1">
      <alignment horizontal="center"/>
    </xf>
    <xf numFmtId="180" fontId="6" fillId="2" borderId="39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39" xfId="0" applyNumberFormat="1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2" borderId="66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39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39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39" xfId="0" applyNumberFormat="1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172" fontId="0" fillId="2" borderId="40" xfId="0" applyNumberFormat="1" applyFont="1" applyFill="1" applyBorder="1" applyAlignment="1" applyProtection="1">
      <alignment horizontal="center"/>
      <protection/>
    </xf>
    <xf numFmtId="172" fontId="0" fillId="2" borderId="43" xfId="0" applyNumberFormat="1" applyFont="1" applyFill="1" applyBorder="1" applyAlignment="1" applyProtection="1">
      <alignment horizontal="center"/>
      <protection/>
    </xf>
    <xf numFmtId="0" fontId="6" fillId="2" borderId="49" xfId="0" applyFont="1" applyFill="1" applyBorder="1" applyAlignment="1" applyProtection="1">
      <alignment horizontal="center"/>
      <protection/>
    </xf>
    <xf numFmtId="0" fontId="6" fillId="2" borderId="67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0" fillId="0" borderId="67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quotePrefix="1">
      <alignment horizontal="center"/>
    </xf>
    <xf numFmtId="0" fontId="1" fillId="0" borderId="63" xfId="0" applyFont="1" applyBorder="1" applyAlignment="1">
      <alignment horizontal="center"/>
    </xf>
    <xf numFmtId="0" fontId="8" fillId="0" borderId="3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27" fillId="0" borderId="1" xfId="0" applyFont="1" applyBorder="1" applyAlignment="1" applyProtection="1">
      <alignment horizontal="left"/>
      <protection locked="0"/>
    </xf>
    <xf numFmtId="0" fontId="27" fillId="0" borderId="2" xfId="0" applyFont="1" applyBorder="1" applyAlignment="1" applyProtection="1">
      <alignment horizontal="left"/>
      <protection locked="0"/>
    </xf>
    <xf numFmtId="0" fontId="27" fillId="0" borderId="12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49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2" borderId="1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67" xfId="0" applyFont="1" applyFill="1" applyBorder="1" applyAlignment="1">
      <alignment horizontal="center"/>
    </xf>
    <xf numFmtId="0" fontId="0" fillId="0" borderId="40" xfId="0" applyFont="1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6" fillId="2" borderId="49" xfId="0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6" xfId="0" applyBorder="1" applyAlignment="1" applyProtection="1" quotePrefix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" xfId="0" applyBorder="1" applyAlignment="1" applyProtection="1" quotePrefix="1">
      <alignment horizontal="left"/>
      <protection locked="0"/>
    </xf>
    <xf numFmtId="0" fontId="0" fillId="0" borderId="3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16" fillId="0" borderId="3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8" xfId="0" applyBorder="1" applyAlignment="1">
      <alignment horizontal="center"/>
    </xf>
    <xf numFmtId="0" fontId="17" fillId="0" borderId="27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3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2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  <xf numFmtId="0" fontId="0" fillId="0" borderId="3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4" borderId="32" xfId="0" applyFill="1" applyBorder="1" applyAlignment="1" quotePrefix="1">
      <alignment horizontal="center"/>
    </xf>
    <xf numFmtId="0" fontId="0" fillId="9" borderId="32" xfId="0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4" borderId="1" xfId="0" applyFill="1" applyBorder="1" applyAlignment="1" quotePrefix="1">
      <alignment horizontal="center"/>
    </xf>
    <xf numFmtId="0" fontId="0" fillId="4" borderId="2" xfId="0" applyFill="1" applyBorder="1" applyAlignment="1" quotePrefix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16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4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8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14" xfId="0" applyFill="1" applyBorder="1" applyAlignment="1" quotePrefix="1">
      <alignment horizontal="center"/>
    </xf>
    <xf numFmtId="0" fontId="0" fillId="8" borderId="11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9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35" xfId="0" applyFont="1" applyBorder="1" applyAlignment="1">
      <alignment/>
    </xf>
    <xf numFmtId="0" fontId="0" fillId="0" borderId="35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2" xfId="0" applyBorder="1" applyAlignment="1">
      <alignment horizontal="left" shrinkToFit="1"/>
    </xf>
    <xf numFmtId="0" fontId="16" fillId="0" borderId="35" xfId="0" applyFont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53" xfId="0" applyFill="1" applyBorder="1" applyAlignment="1">
      <alignment horizontal="right"/>
    </xf>
    <xf numFmtId="0" fontId="0" fillId="3" borderId="54" xfId="0" applyFill="1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3" borderId="38" xfId="0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44" xfId="0" applyFill="1" applyBorder="1" applyAlignment="1" quotePrefix="1">
      <alignment horizontal="center"/>
    </xf>
    <xf numFmtId="0" fontId="0" fillId="0" borderId="48" xfId="0" applyBorder="1" applyAlignment="1">
      <alignment horizontal="left"/>
    </xf>
    <xf numFmtId="0" fontId="0" fillId="0" borderId="44" xfId="0" applyBorder="1" applyAlignment="1">
      <alignment horizontal="center" wrapText="1"/>
    </xf>
    <xf numFmtId="0" fontId="0" fillId="4" borderId="44" xfId="0" applyFill="1" applyBorder="1" applyAlignment="1">
      <alignment horizontal="center"/>
    </xf>
    <xf numFmtId="0" fontId="0" fillId="9" borderId="32" xfId="0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44" xfId="0" applyBorder="1" applyAlignment="1" quotePrefix="1">
      <alignment vertical="top"/>
    </xf>
    <xf numFmtId="0" fontId="0" fillId="0" borderId="14" xfId="0" applyBorder="1" applyAlignment="1">
      <alignment vertical="top"/>
    </xf>
    <xf numFmtId="0" fontId="0" fillId="0" borderId="46" xfId="0" applyBorder="1" applyAlignment="1">
      <alignment vertical="top"/>
    </xf>
    <xf numFmtId="0" fontId="0" fillId="3" borderId="32" xfId="0" applyFill="1" applyBorder="1" applyAlignment="1">
      <alignment horizontal="center" wrapText="1"/>
    </xf>
    <xf numFmtId="0" fontId="0" fillId="3" borderId="44" xfId="0" applyFill="1" applyBorder="1" applyAlignment="1" quotePrefix="1">
      <alignment horizontal="center" vertical="top"/>
    </xf>
    <xf numFmtId="0" fontId="0" fillId="3" borderId="14" xfId="0" applyFill="1" applyBorder="1" applyAlignment="1" quotePrefix="1">
      <alignment horizontal="center" vertical="top"/>
    </xf>
    <xf numFmtId="0" fontId="0" fillId="3" borderId="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9" borderId="32" xfId="0" applyFill="1" applyBorder="1" applyAlignment="1">
      <alignment horizontal="center" wrapText="1"/>
    </xf>
    <xf numFmtId="0" fontId="0" fillId="0" borderId="44" xfId="0" applyBorder="1" applyAlignment="1" quotePrefix="1">
      <alignment horizontal="center" vertical="top"/>
    </xf>
    <xf numFmtId="0" fontId="0" fillId="0" borderId="46" xfId="0" applyBorder="1" applyAlignment="1" quotePrefix="1">
      <alignment horizontal="center" vertical="top"/>
    </xf>
    <xf numFmtId="0" fontId="0" fillId="0" borderId="14" xfId="0" applyBorder="1" applyAlignment="1" quotePrefix="1">
      <alignment horizontal="center" vertical="top"/>
    </xf>
    <xf numFmtId="0" fontId="0" fillId="3" borderId="32" xfId="0" applyFill="1" applyBorder="1" applyAlignment="1" quotePrefix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2"/>
  <sheetViews>
    <sheetView showGridLines="0" tabSelected="1" defaultGridColor="0" zoomScale="75" zoomScaleNormal="75" colorId="8" workbookViewId="0" topLeftCell="A1">
      <selection activeCell="N4" sqref="N4"/>
    </sheetView>
  </sheetViews>
  <sheetFormatPr defaultColWidth="8.88671875" defaultRowHeight="15"/>
  <cols>
    <col min="1" max="1" width="12.6640625" style="0" customWidth="1"/>
    <col min="2" max="2" width="11.5546875" style="0" customWidth="1"/>
    <col min="3" max="3" width="3.3359375" style="0" customWidth="1"/>
    <col min="4" max="4" width="5.6640625" style="0" customWidth="1"/>
    <col min="5" max="5" width="8.5546875" style="0" customWidth="1"/>
    <col min="6" max="6" width="13.4453125" style="0" customWidth="1"/>
    <col min="7" max="18" width="4.6640625" style="0" customWidth="1"/>
    <col min="19" max="19" width="1.66796875" style="83" customWidth="1"/>
    <col min="20" max="20" width="20.6640625" style="0" customWidth="1"/>
    <col min="21" max="21" width="9.3359375" style="0" customWidth="1"/>
    <col min="22" max="22" width="3.10546875" style="0" customWidth="1"/>
    <col min="23" max="23" width="10.3359375" style="0" customWidth="1"/>
    <col min="24" max="24" width="12.4453125" style="0" customWidth="1"/>
    <col min="25" max="25" width="9.10546875" style="0" customWidth="1"/>
    <col min="26" max="27" width="0.3359375" style="176" customWidth="1"/>
    <col min="28" max="28" width="24.10546875" style="0" customWidth="1"/>
    <col min="29" max="30" width="8.6640625" style="0" customWidth="1"/>
    <col min="31" max="31" width="4.10546875" style="0" bestFit="1" customWidth="1"/>
    <col min="32" max="32" width="6.3359375" style="0" bestFit="1" customWidth="1"/>
    <col min="33" max="33" width="3.6640625" style="0" bestFit="1" customWidth="1"/>
    <col min="34" max="34" width="5.88671875" style="0" bestFit="1" customWidth="1"/>
    <col min="35" max="35" width="4.6640625" style="0" bestFit="1" customWidth="1"/>
    <col min="36" max="36" width="5.88671875" style="0" bestFit="1" customWidth="1"/>
    <col min="37" max="38" width="4.6640625" style="0" bestFit="1" customWidth="1"/>
    <col min="39" max="16384" width="8.6640625" style="0" customWidth="1"/>
  </cols>
  <sheetData>
    <row r="1" spans="1:19" ht="34.5">
      <c r="A1" s="151" t="s">
        <v>536</v>
      </c>
      <c r="B1" s="36"/>
      <c r="C1" s="36"/>
      <c r="D1" s="36"/>
      <c r="E1" s="36"/>
      <c r="F1" s="37"/>
      <c r="G1" s="9" t="s">
        <v>537</v>
      </c>
      <c r="H1" s="12"/>
      <c r="I1" s="38"/>
      <c r="J1" s="12"/>
      <c r="K1" s="11"/>
      <c r="L1" s="11"/>
      <c r="M1" s="11"/>
      <c r="N1" s="11"/>
      <c r="O1" s="10" t="s">
        <v>697</v>
      </c>
      <c r="P1" s="11"/>
      <c r="Q1" s="11"/>
      <c r="R1" s="39"/>
      <c r="S1" s="75"/>
    </row>
    <row r="2" spans="1:29" s="6" customFormat="1" ht="18">
      <c r="A2" s="4"/>
      <c r="B2" s="4"/>
      <c r="C2" s="4"/>
      <c r="D2" s="4"/>
      <c r="E2" s="4"/>
      <c r="F2" s="5"/>
      <c r="G2" s="14" t="s">
        <v>538</v>
      </c>
      <c r="H2" s="15"/>
      <c r="I2" s="14" t="s">
        <v>539</v>
      </c>
      <c r="J2" s="104">
        <f>MD+R10+R11</f>
        <v>15</v>
      </c>
      <c r="K2" s="14" t="s">
        <v>540</v>
      </c>
      <c r="L2" s="104">
        <f>AG+R7+R8+WgtAGMod</f>
        <v>15</v>
      </c>
      <c r="M2" s="14" t="s">
        <v>541</v>
      </c>
      <c r="N2" s="15"/>
      <c r="O2" s="14" t="s">
        <v>542</v>
      </c>
      <c r="P2" s="15"/>
      <c r="Q2" s="14" t="s">
        <v>543</v>
      </c>
      <c r="R2" s="40"/>
      <c r="S2" s="76"/>
      <c r="T2" s="86" t="s">
        <v>544</v>
      </c>
      <c r="U2" s="87"/>
      <c r="Z2" s="177"/>
      <c r="AA2" s="177"/>
      <c r="AC2" s="6" t="s">
        <v>394</v>
      </c>
    </row>
    <row r="3" spans="1:29" s="6" customFormat="1" ht="18">
      <c r="A3" s="439"/>
      <c r="B3" s="4"/>
      <c r="C3" s="7"/>
      <c r="D3" s="7"/>
      <c r="E3" s="7"/>
      <c r="F3" s="8"/>
      <c r="G3" s="16"/>
      <c r="H3" s="94">
        <v>15</v>
      </c>
      <c r="I3" s="16"/>
      <c r="J3" s="94">
        <v>15</v>
      </c>
      <c r="K3" s="16"/>
      <c r="L3" s="94">
        <v>15</v>
      </c>
      <c r="M3" s="16"/>
      <c r="N3" s="94">
        <v>15</v>
      </c>
      <c r="O3" s="16"/>
      <c r="P3" s="94">
        <v>15</v>
      </c>
      <c r="Q3" s="16"/>
      <c r="R3" s="95">
        <v>15</v>
      </c>
      <c r="S3" s="76"/>
      <c r="T3" s="106">
        <f>+H3+J3+L3+N3+P3+R3</f>
        <v>90</v>
      </c>
      <c r="U3" s="107"/>
      <c r="Z3" s="177"/>
      <c r="AA3" s="177"/>
      <c r="AC3" s="6" t="s">
        <v>395</v>
      </c>
    </row>
    <row r="4" spans="1:29" s="6" customFormat="1" ht="18">
      <c r="A4" s="443" t="s">
        <v>545</v>
      </c>
      <c r="B4" s="522"/>
      <c r="C4" s="523"/>
      <c r="D4" s="523"/>
      <c r="E4" s="523"/>
      <c r="F4" s="523"/>
      <c r="G4" s="523"/>
      <c r="H4" s="524"/>
      <c r="I4" s="17" t="s">
        <v>546</v>
      </c>
      <c r="J4" s="237">
        <f>8+INDEX(RacePCAdj,Z5)</f>
        <v>8</v>
      </c>
      <c r="K4" s="235" t="s">
        <v>547</v>
      </c>
      <c r="L4" s="212">
        <f>INDEX(TMRcalcTMR,MATCH(modAG,TMRcalcAG,1))+INDEX(RaceTMRAdj,Z5)</f>
        <v>5</v>
      </c>
      <c r="M4" s="17" t="s">
        <v>548</v>
      </c>
      <c r="N4" s="96"/>
      <c r="O4" s="14" t="s">
        <v>549</v>
      </c>
      <c r="P4" s="383">
        <f>DEF+Q10+Q11</f>
        <v>15</v>
      </c>
      <c r="Q4" s="14" t="s">
        <v>550</v>
      </c>
      <c r="R4" s="40"/>
      <c r="S4" s="76"/>
      <c r="Z4" s="177"/>
      <c r="AA4" s="177"/>
      <c r="AC4" s="6" t="s">
        <v>396</v>
      </c>
    </row>
    <row r="5" spans="1:29" s="6" customFormat="1" ht="18.75" customHeight="1" thickBot="1">
      <c r="A5" s="443" t="s">
        <v>551</v>
      </c>
      <c r="B5" s="444"/>
      <c r="C5" s="3" t="s">
        <v>552</v>
      </c>
      <c r="D5" s="98"/>
      <c r="E5" s="2" t="s">
        <v>553</v>
      </c>
      <c r="F5" s="97"/>
      <c r="G5" s="2" t="s">
        <v>554</v>
      </c>
      <c r="H5" s="3"/>
      <c r="I5" s="153"/>
      <c r="J5" s="236"/>
      <c r="K5" s="18" t="s">
        <v>555</v>
      </c>
      <c r="L5" s="98"/>
      <c r="M5" s="18" t="s">
        <v>441</v>
      </c>
      <c r="N5" s="98"/>
      <c r="O5" s="16"/>
      <c r="P5" s="105">
        <f>modAG</f>
        <v>15</v>
      </c>
      <c r="Q5" s="16"/>
      <c r="R5" s="213">
        <f>INDEX(FTCalcFT,MATCH(EN,FTCalcEN,1))+INDEX(RaceFTAdj,Z5)+INDEX(FTCalcSexAdj,AA5)</f>
        <v>20</v>
      </c>
      <c r="S5" s="77"/>
      <c r="T5" s="6" t="s">
        <v>148</v>
      </c>
      <c r="Z5" s="177">
        <v>6</v>
      </c>
      <c r="AA5" s="177">
        <v>1</v>
      </c>
      <c r="AC5" s="6" t="s">
        <v>397</v>
      </c>
    </row>
    <row r="6" spans="1:32" s="6" customFormat="1" ht="18.75">
      <c r="A6" s="67" t="s">
        <v>442</v>
      </c>
      <c r="B6" s="157" t="s">
        <v>443</v>
      </c>
      <c r="C6" s="10"/>
      <c r="D6" s="10"/>
      <c r="E6" s="65" t="s">
        <v>444</v>
      </c>
      <c r="F6" s="63" t="s">
        <v>445</v>
      </c>
      <c r="G6" s="63" t="s">
        <v>446</v>
      </c>
      <c r="H6" s="63" t="s">
        <v>447</v>
      </c>
      <c r="I6" s="63" t="s">
        <v>448</v>
      </c>
      <c r="J6" s="63" t="s">
        <v>449</v>
      </c>
      <c r="K6" s="63" t="s">
        <v>450</v>
      </c>
      <c r="L6" s="66" t="s">
        <v>451</v>
      </c>
      <c r="M6" s="9" t="s">
        <v>452</v>
      </c>
      <c r="N6" s="11"/>
      <c r="O6" s="63" t="s">
        <v>453</v>
      </c>
      <c r="P6" s="63" t="s">
        <v>444</v>
      </c>
      <c r="Q6" s="61" t="s">
        <v>454</v>
      </c>
      <c r="R6" s="62" t="s">
        <v>199</v>
      </c>
      <c r="S6" s="78"/>
      <c r="Z6" s="177"/>
      <c r="AA6" s="177"/>
      <c r="AB6" s="92"/>
      <c r="AC6" s="167" t="s">
        <v>393</v>
      </c>
      <c r="AD6" s="167" t="s">
        <v>364</v>
      </c>
      <c r="AE6" s="6" t="s">
        <v>392</v>
      </c>
      <c r="AF6" s="6" t="s">
        <v>364</v>
      </c>
    </row>
    <row r="7" spans="1:32" s="6" customFormat="1" ht="18.75">
      <c r="A7" s="101"/>
      <c r="B7" s="525"/>
      <c r="C7" s="526"/>
      <c r="D7" s="527"/>
      <c r="E7" s="232">
        <f>IF(M15&lt;&gt;"",INDEX(Wgt,$AA7-1),"")</f>
      </c>
      <c r="F7" s="171">
        <f>IF(AA7=Unarmed,2*modAG+StrBonus,IF(M15&lt;&gt;"",INDEX(Base_Chance,$AA7-1),""))</f>
      </c>
      <c r="G7" s="110" t="e">
        <f>+IF(+AA7&gt;1,modAG+PC+IF(A7&lt;&gt;"",A7,0),"")+K21</f>
        <v>#VALUE!</v>
      </c>
      <c r="H7" s="110">
        <f>+IF(A7&lt;&gt;"",F7+modMD+(A7*4),IF(F7&lt;&gt;"",F7,""))</f>
      </c>
      <c r="I7" s="170">
        <f>IF(AA7=Unarmed,-4+TRUNC(StrBonus/3),IF(M15&lt;&gt;"",INDEX(Dam,$AA7-1)+W1_Str+W1_Rank,""))</f>
      </c>
      <c r="J7" s="171">
        <f>IF(INDEX(CombatSkills,$AA7)&lt;&gt;"",INDEX(Class,$AA7-1),"")</f>
      </c>
      <c r="K7" s="171">
        <f>IF(INDEX(CombatSkills,$AA7)&lt;&gt;"",INDEX(Range,$AA7-1),"")</f>
      </c>
      <c r="L7" s="171">
        <f>IF(INDEX(CombatSkills,$AA7)&lt;&gt;"",INDEX(Use,$AA7-1),"")</f>
      </c>
      <c r="M7" s="532"/>
      <c r="N7" s="527"/>
      <c r="O7" s="175">
        <f>IF($Z7&gt;1,INDEX(ArmStealthAdj,$Z7-1),0)</f>
        <v>0</v>
      </c>
      <c r="P7" s="175">
        <f>IF($Z7&gt;1,INDEX(ArmWgt,$Z7-1)*(INDEX(ArmRaceMult,Z5)+INDEX(ArmSexAdj,AA5)),"")</f>
      </c>
      <c r="Q7" s="487">
        <f>IF($Z7&gt;1,INDEX(ArmProt,$Z7-1),"")</f>
      </c>
      <c r="R7" s="233">
        <f>IF($Z7&gt;1,INDEX(ArmAGLoss,$Z7-1),0)</f>
        <v>0</v>
      </c>
      <c r="S7" s="76"/>
      <c r="T7" s="112" t="s">
        <v>398</v>
      </c>
      <c r="U7" s="112"/>
      <c r="Z7" s="177">
        <v>1</v>
      </c>
      <c r="AA7" s="177">
        <v>1</v>
      </c>
      <c r="AB7" s="168" t="s">
        <v>145</v>
      </c>
      <c r="AC7" s="222" t="b">
        <v>0</v>
      </c>
      <c r="AD7" s="223" t="b">
        <v>1</v>
      </c>
      <c r="AE7" s="6">
        <f>IF(AC7,MAX(0,TRUNC((PS-INDEX(PS_Req,$AA7-1))/5)),0)</f>
        <v>0</v>
      </c>
      <c r="AF7" s="6">
        <f>IF(AD7,TRUNC(A7/4),0)</f>
        <v>0</v>
      </c>
    </row>
    <row r="8" spans="1:32" s="6" customFormat="1" ht="18.75">
      <c r="A8" s="101"/>
      <c r="B8" s="525"/>
      <c r="C8" s="526"/>
      <c r="D8" s="527"/>
      <c r="E8" s="232">
        <f>IF(M16&lt;&gt;"",INDEX(Wgt,$AA8-1),"")</f>
      </c>
      <c r="F8" s="171">
        <f>IF(AA8=Unarmed,2*modAG+StrBonus,IF(M16&lt;&gt;"",INDEX(Base_Chance,$AA8-1),""))</f>
      </c>
      <c r="G8" s="110" t="e">
        <f>+IF(+AA8&gt;1,modAG+PC+IF(A8&lt;&gt;"",A8,0),"")+K21</f>
        <v>#VALUE!</v>
      </c>
      <c r="H8" s="110">
        <f>+IF(A8&lt;&gt;"",F8+modMD+(A8*4),IF(F8&lt;&gt;"",F8,""))</f>
      </c>
      <c r="I8" s="170">
        <f>IF(AA8=Unarmed,-4+TRUNC(StrBonus/3),IF(M16&lt;&gt;"",INDEX(Dam,$AA8-1)+W2_Str+W2_Rank,""))</f>
      </c>
      <c r="J8" s="171">
        <f>IF(INDEX(CombatSkills,$AA8)&lt;&gt;"",INDEX(Class,$AA8-1),"")</f>
      </c>
      <c r="K8" s="171">
        <f>IF(INDEX(CombatSkills,$AA8)&lt;&gt;"",INDEX(Range,$AA8-1),"")</f>
      </c>
      <c r="L8" s="171">
        <f>IF(INDEX(CombatSkills,$AA8)&lt;&gt;"",INDEX(Use,$AA8-1),"")</f>
      </c>
      <c r="M8" s="532"/>
      <c r="N8" s="527"/>
      <c r="O8" s="100"/>
      <c r="P8" s="100"/>
      <c r="Q8" s="100"/>
      <c r="R8" s="234"/>
      <c r="S8" s="76"/>
      <c r="T8" s="6" t="s">
        <v>353</v>
      </c>
      <c r="Z8" s="177"/>
      <c r="AA8" s="177">
        <v>1</v>
      </c>
      <c r="AB8" s="168" t="s">
        <v>146</v>
      </c>
      <c r="AC8" s="224" t="b">
        <v>0</v>
      </c>
      <c r="AD8" s="223" t="b">
        <v>1</v>
      </c>
      <c r="AE8" s="6">
        <f>IF(AC8,MAX(0,TRUNC((PS-INDEX(PS_Req,$AA8-1))/5)),0)</f>
        <v>0</v>
      </c>
      <c r="AF8" s="6">
        <f>IF(AD8,TRUNC(A8/4),0)</f>
        <v>0</v>
      </c>
    </row>
    <row r="9" spans="1:32" s="6" customFormat="1" ht="18.75">
      <c r="A9" s="101"/>
      <c r="B9" s="525"/>
      <c r="C9" s="526"/>
      <c r="D9" s="527"/>
      <c r="E9" s="232">
        <f>IF(M17&lt;&gt;"",INDEX(Wgt,$AA9-1),"")</f>
      </c>
      <c r="F9" s="171">
        <f>IF(AA9=Unarmed,2*modAG+StrBonus,IF(M17&lt;&gt;"",INDEX(Base_Chance,$AA9-1),""))</f>
      </c>
      <c r="G9" s="110" t="e">
        <f>+IF(+AA9&gt;1,modAG+PC+IF(A9&lt;&gt;"",A9,0),"")+K21</f>
        <v>#VALUE!</v>
      </c>
      <c r="H9" s="110">
        <f>+IF(A9&lt;&gt;"",F9+modMD+(A9*4),IF(F9&lt;&gt;"",F9,""))</f>
      </c>
      <c r="I9" s="170">
        <f>IF(AA9=Unarmed,-4+TRUNC(StrBonus/3),IF(M17&lt;&gt;"",INDEX(Dam,$AA9-1)+W3_Str+W3_Rank,""))</f>
      </c>
      <c r="J9" s="171">
        <f>IF(INDEX(CombatSkills,$AA9)&lt;&gt;"",INDEX(Class,$AA9-1),"")</f>
      </c>
      <c r="K9" s="171">
        <f>IF(INDEX(CombatSkills,$AA9)&lt;&gt;"",INDEX(Range,$AA9-1),"")</f>
      </c>
      <c r="L9" s="171">
        <f>IF(INDEX(CombatSkills,$AA9)&lt;&gt;"",INDEX(Use,$AA9-1),"")</f>
      </c>
      <c r="M9" s="13" t="s">
        <v>200</v>
      </c>
      <c r="N9" s="138"/>
      <c r="O9" s="139"/>
      <c r="P9" s="67" t="s">
        <v>201</v>
      </c>
      <c r="Q9" s="67" t="s">
        <v>202</v>
      </c>
      <c r="R9" s="68" t="s">
        <v>203</v>
      </c>
      <c r="S9" s="78"/>
      <c r="Z9" s="177"/>
      <c r="AA9" s="177">
        <v>1</v>
      </c>
      <c r="AB9" s="168" t="s">
        <v>147</v>
      </c>
      <c r="AC9" s="224" t="b">
        <v>0</v>
      </c>
      <c r="AD9" s="223" t="b">
        <v>1</v>
      </c>
      <c r="AE9" s="6">
        <f>IF(AC9,MAX(0,TRUNC((PS-INDEX(PS_Req,$AA9-1))/5)),0)</f>
        <v>0</v>
      </c>
      <c r="AF9" s="6">
        <f>IF(AD9,TRUNC(A9/4),0)</f>
        <v>0</v>
      </c>
    </row>
    <row r="10" spans="1:32" s="6" customFormat="1" ht="18.75">
      <c r="A10" s="99"/>
      <c r="B10" s="532"/>
      <c r="C10" s="526"/>
      <c r="D10" s="527"/>
      <c r="E10" s="230"/>
      <c r="F10" s="227"/>
      <c r="G10" s="110" t="e">
        <f>+IF(+B10&lt;&gt;"",modAG+PC+IF(A10&lt;&gt;"",A10,0),"")+K21</f>
        <v>#VALUE!</v>
      </c>
      <c r="H10" s="110">
        <f>IF(A10&lt;&gt;"",F10+modMD+(A10*4),IF(F10&lt;&gt;"",F10,""))</f>
      </c>
      <c r="I10" s="228"/>
      <c r="J10" s="388"/>
      <c r="K10" s="229"/>
      <c r="L10" s="229"/>
      <c r="M10" s="532"/>
      <c r="N10" s="526"/>
      <c r="O10" s="527"/>
      <c r="P10" s="101"/>
      <c r="Q10" s="110">
        <f>IF(Z10&gt;1,P10*INDEX(ShDef,Z10-1),0)</f>
        <v>0</v>
      </c>
      <c r="R10" s="109">
        <f>IF(Z10&gt;1,INDEX(ShMDLoss,Z10-1),0)</f>
        <v>0</v>
      </c>
      <c r="S10" s="76"/>
      <c r="Z10" s="177">
        <v>1</v>
      </c>
      <c r="AA10" s="177">
        <v>1</v>
      </c>
      <c r="AB10" s="169" t="s">
        <v>391</v>
      </c>
      <c r="AC10" s="225" t="b">
        <v>0</v>
      </c>
      <c r="AD10" s="223" t="b">
        <v>1</v>
      </c>
      <c r="AE10" s="6">
        <f>IF(AC10,MAX(0,TRUNC((PS-INDEX(PS_Req,$AA10-1))/5)),0)</f>
        <v>0</v>
      </c>
      <c r="AF10" s="6">
        <f>IF(AD10,TRUNC(A10/4),0)</f>
        <v>0</v>
      </c>
    </row>
    <row r="11" spans="1:27" s="6" customFormat="1" ht="18.75" thickBot="1">
      <c r="A11" s="226">
        <f>IF(P10&lt;&gt;"",P10,"")</f>
      </c>
      <c r="B11" s="550">
        <f>IF(Z10&gt;1,INDEX(ShieldTypes,Z10),"")</f>
      </c>
      <c r="C11" s="551"/>
      <c r="D11" s="552"/>
      <c r="E11" s="232">
        <f>Q19</f>
      </c>
      <c r="F11" s="171">
        <f>IF(B11&lt;&gt;"",INDEX(Base_Chance,MATCH(ShieldSkill,CombatSkills,0)-1),"")</f>
      </c>
      <c r="G11" s="110" t="e">
        <f>+IF(+B11&lt;&gt;"",modAG+PC+IF(A11&lt;&gt;"",A11,0),"")+K21</f>
        <v>#VALUE!</v>
      </c>
      <c r="H11" s="110">
        <f>IF(A11&lt;&gt;"",F11+modMD+(A11*4),IF(F11&lt;&gt;"",F11,""))</f>
      </c>
      <c r="I11" s="170">
        <f>IF(B11&lt;&gt;"",INDEX(Dam,MATCH(ShieldSkill,CombatSkills,0)-1),"")</f>
      </c>
      <c r="J11" s="171">
        <f>IF(ShieldSkill&lt;&gt;"",INDEX(Class,MATCH(ShieldSkill,CombatSkills,0)-1),"")</f>
      </c>
      <c r="K11" s="171">
        <f>IF(ShieldSkill&lt;&gt;"",INDEX(Range,MATCH(ShieldSkill,CombatSkills,0)-1),"")</f>
      </c>
      <c r="L11" s="171">
        <f>IF(ShieldSkill&lt;&gt;"",INDEX(Use,MATCH(ShieldSkill,CombatSkills,0)-1),"")</f>
      </c>
      <c r="M11" s="540"/>
      <c r="N11" s="541"/>
      <c r="O11" s="542"/>
      <c r="P11" s="101"/>
      <c r="Q11" s="101"/>
      <c r="R11" s="152"/>
      <c r="S11" s="76"/>
      <c r="T11" s="6" t="s">
        <v>354</v>
      </c>
      <c r="Z11" s="177"/>
      <c r="AA11" s="177"/>
    </row>
    <row r="12" spans="1:27" s="6" customFormat="1" ht="18.75" thickBot="1">
      <c r="A12" s="93" t="s">
        <v>204</v>
      </c>
      <c r="B12" s="559" t="s">
        <v>800</v>
      </c>
      <c r="C12" s="560"/>
      <c r="D12" s="560"/>
      <c r="E12" s="560"/>
      <c r="F12" s="560"/>
      <c r="G12" s="382" t="s">
        <v>205</v>
      </c>
      <c r="H12" s="92"/>
      <c r="I12" s="92"/>
      <c r="J12" s="92"/>
      <c r="K12" s="92"/>
      <c r="L12" s="383">
        <f>+IF(B12&lt;&gt;"",WP,WP+20)</f>
        <v>15</v>
      </c>
      <c r="M12" s="384" t="s">
        <v>635</v>
      </c>
      <c r="N12" s="64"/>
      <c r="O12" s="64"/>
      <c r="P12" s="64"/>
      <c r="Q12" s="385">
        <f>modAG+PC</f>
        <v>23</v>
      </c>
      <c r="R12" s="47"/>
      <c r="S12" s="75"/>
      <c r="Z12" s="177"/>
      <c r="AA12" s="177"/>
    </row>
    <row r="13" spans="1:27" s="6" customFormat="1" ht="18">
      <c r="A13" s="41"/>
      <c r="B13" s="28"/>
      <c r="C13" s="26"/>
      <c r="D13" s="27"/>
      <c r="E13" s="28"/>
      <c r="F13" s="26"/>
      <c r="G13" s="157" t="s">
        <v>636</v>
      </c>
      <c r="H13" s="157"/>
      <c r="I13" s="157"/>
      <c r="J13" s="157"/>
      <c r="K13" s="157"/>
      <c r="L13" s="386">
        <f>EN/3</f>
        <v>5</v>
      </c>
      <c r="M13" s="27"/>
      <c r="N13" s="27"/>
      <c r="O13" s="27"/>
      <c r="P13" s="28"/>
      <c r="Q13" s="71"/>
      <c r="R13" s="42"/>
      <c r="S13" s="79"/>
      <c r="T13" s="88" t="s">
        <v>206</v>
      </c>
      <c r="U13" s="89"/>
      <c r="W13" s="13" t="s">
        <v>356</v>
      </c>
      <c r="X13" s="154"/>
      <c r="Z13" s="177"/>
      <c r="AA13" s="177"/>
    </row>
    <row r="14" spans="1:38" s="6" customFormat="1" ht="18">
      <c r="A14" s="55" t="s">
        <v>207</v>
      </c>
      <c r="B14" s="22"/>
      <c r="C14" s="29" t="s">
        <v>208</v>
      </c>
      <c r="D14" s="23"/>
      <c r="E14" s="22"/>
      <c r="F14" s="29" t="s">
        <v>209</v>
      </c>
      <c r="G14" s="23"/>
      <c r="H14" s="23"/>
      <c r="I14" s="23"/>
      <c r="J14" s="22"/>
      <c r="K14" s="31" t="s">
        <v>201</v>
      </c>
      <c r="L14" s="31" t="s">
        <v>202</v>
      </c>
      <c r="M14" s="55" t="s">
        <v>210</v>
      </c>
      <c r="N14" s="23"/>
      <c r="O14" s="23"/>
      <c r="P14" s="22"/>
      <c r="Q14" s="84" t="s">
        <v>211</v>
      </c>
      <c r="R14" s="85"/>
      <c r="S14" s="80"/>
      <c r="T14" s="90" t="s">
        <v>212</v>
      </c>
      <c r="U14" s="91"/>
      <c r="W14" s="157" t="s">
        <v>357</v>
      </c>
      <c r="X14" s="157" t="s">
        <v>358</v>
      </c>
      <c r="Z14" s="177"/>
      <c r="AA14" s="177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204"/>
    </row>
    <row r="15" spans="1:27" s="24" customFormat="1" ht="18">
      <c r="A15" s="43"/>
      <c r="B15" s="20"/>
      <c r="C15" s="529"/>
      <c r="D15" s="530"/>
      <c r="E15" s="531"/>
      <c r="F15" s="533" t="s">
        <v>258</v>
      </c>
      <c r="G15" s="534"/>
      <c r="H15" s="534"/>
      <c r="I15" s="534"/>
      <c r="J15" s="535"/>
      <c r="K15" s="102">
        <v>0</v>
      </c>
      <c r="L15" s="108">
        <f>(modMD*3)+(K15*6)+10*K19</f>
        <v>45</v>
      </c>
      <c r="M15" s="160">
        <f>IF(AA7&lt;&gt;Unarmed,INDEX(CombatSkills,AA7),"")</f>
      </c>
      <c r="N15" s="111"/>
      <c r="O15" s="111"/>
      <c r="P15" s="135"/>
      <c r="Q15" s="496">
        <f>+E7</f>
      </c>
      <c r="R15" s="497"/>
      <c r="S15" s="74"/>
      <c r="T15" s="108">
        <f>INDEX(CombatSkills,AA7)</f>
      </c>
      <c r="U15" s="172">
        <f>IF(A7&lt;&gt;"",INDEX(CombatCosts,AA7-1,MATCH(A7,CombatRanks))*EXM,"")</f>
      </c>
      <c r="W15" s="220"/>
      <c r="X15" s="102"/>
      <c r="Z15" s="178"/>
      <c r="AA15" s="178">
        <v>26</v>
      </c>
    </row>
    <row r="16" spans="1:27" s="24" customFormat="1" ht="18">
      <c r="A16" s="43"/>
      <c r="B16" s="20"/>
      <c r="C16" s="529"/>
      <c r="D16" s="530"/>
      <c r="E16" s="531"/>
      <c r="F16" s="529"/>
      <c r="G16" s="530"/>
      <c r="H16" s="530"/>
      <c r="I16" s="530"/>
      <c r="J16" s="531"/>
      <c r="K16" s="102">
        <v>0</v>
      </c>
      <c r="L16" s="108">
        <f>+(TRUNC(modAG+WP)/2)+(K16*8)</f>
        <v>15</v>
      </c>
      <c r="M16" s="160">
        <f>IF(AA8&lt;&gt;Unarmed,INDEX(CombatSkills,AA8),"")</f>
      </c>
      <c r="N16" s="111"/>
      <c r="O16" s="111"/>
      <c r="P16" s="135"/>
      <c r="Q16" s="496">
        <f>+E8</f>
      </c>
      <c r="R16" s="497"/>
      <c r="S16" s="74"/>
      <c r="T16" s="108">
        <f>INDEX(CombatSkills,AA8)</f>
      </c>
      <c r="U16" s="172">
        <f>IF(A8&lt;&gt;"",INDEX(CombatCosts,AA8-1,MATCH(A8,CombatRanks))*EXM,"")</f>
      </c>
      <c r="W16" s="102"/>
      <c r="X16" s="102"/>
      <c r="Z16" s="178"/>
      <c r="AA16" s="178">
        <v>27</v>
      </c>
    </row>
    <row r="17" spans="1:27" s="24" customFormat="1" ht="18">
      <c r="A17" s="539"/>
      <c r="B17" s="527"/>
      <c r="C17" s="529"/>
      <c r="D17" s="530"/>
      <c r="E17" s="531"/>
      <c r="F17" s="529"/>
      <c r="G17" s="530"/>
      <c r="H17" s="530"/>
      <c r="I17" s="530"/>
      <c r="J17" s="531"/>
      <c r="K17" s="102">
        <v>0</v>
      </c>
      <c r="L17" s="108">
        <f>+(modAG*3)+(K17*5)+O7+O8+INDEX(RaceStealthAdj,Z5)+2*K18+2*K20+1*K19</f>
        <v>45</v>
      </c>
      <c r="M17" s="160">
        <f>IF(AA9&lt;&gt;Unarmed,INDEX(CombatSkills,AA9),"")</f>
      </c>
      <c r="N17" s="111"/>
      <c r="O17" s="111"/>
      <c r="P17" s="135"/>
      <c r="Q17" s="496">
        <f>+E9</f>
      </c>
      <c r="R17" s="497"/>
      <c r="S17" s="74"/>
      <c r="T17" s="108">
        <f>INDEX(CombatSkills,AA9)</f>
      </c>
      <c r="U17" s="172">
        <f>IF(A9&lt;&gt;"",INDEX(CombatCosts,AA9-1,MATCH(A9,CombatRanks))*EXM,"")</f>
      </c>
      <c r="W17" s="102"/>
      <c r="X17" s="102"/>
      <c r="Z17" s="178"/>
      <c r="AA17" s="178">
        <v>28</v>
      </c>
    </row>
    <row r="18" spans="1:27" s="24" customFormat="1" ht="18">
      <c r="A18" s="539"/>
      <c r="B18" s="527"/>
      <c r="C18" s="536" t="s">
        <v>802</v>
      </c>
      <c r="D18" s="537"/>
      <c r="E18" s="538"/>
      <c r="F18" s="529"/>
      <c r="G18" s="530"/>
      <c r="H18" s="530"/>
      <c r="I18" s="530"/>
      <c r="J18" s="531"/>
      <c r="K18" s="102"/>
      <c r="L18" s="102"/>
      <c r="M18" s="160">
        <f>+IF(B10&lt;&gt;"",B10,"")</f>
      </c>
      <c r="N18" s="111"/>
      <c r="O18" s="111"/>
      <c r="P18" s="135"/>
      <c r="Q18" s="494">
        <f>+E10</f>
        <v>0</v>
      </c>
      <c r="R18" s="495"/>
      <c r="S18" s="74"/>
      <c r="T18" s="108">
        <f>IF(B10&lt;&gt;"",B10,"")</f>
      </c>
      <c r="U18" s="173"/>
      <c r="W18" s="102"/>
      <c r="X18" s="102"/>
      <c r="Z18" s="178"/>
      <c r="AA18" s="178">
        <v>1</v>
      </c>
    </row>
    <row r="19" spans="1:27" s="24" customFormat="1" ht="18">
      <c r="A19" s="539"/>
      <c r="B19" s="527"/>
      <c r="C19" s="536" t="s">
        <v>803</v>
      </c>
      <c r="D19" s="537"/>
      <c r="E19" s="538"/>
      <c r="F19" s="529"/>
      <c r="G19" s="530"/>
      <c r="H19" s="530"/>
      <c r="I19" s="530"/>
      <c r="J19" s="531"/>
      <c r="K19" s="102"/>
      <c r="L19" s="102"/>
      <c r="M19" s="134">
        <f>IF(Z10&gt;1,INDEX(ShieldTypes,Z10),"")</f>
      </c>
      <c r="N19" s="111"/>
      <c r="O19" s="111"/>
      <c r="P19" s="135"/>
      <c r="Q19" s="496">
        <f>IF(Z10&gt;1,INDEX(ShWgt,Z10-1),"")</f>
      </c>
      <c r="R19" s="497"/>
      <c r="S19" s="74"/>
      <c r="T19" s="108">
        <f>ShieldSkill</f>
      </c>
      <c r="U19" s="172">
        <f>IF(P10&lt;&gt;"",INDEX(CombatCosts,MATCH(ShieldSkill,CombatSkills,0)-1,MATCH(P10,CombatRanks))*EXM,"")</f>
      </c>
      <c r="W19" s="102"/>
      <c r="X19" s="102"/>
      <c r="Z19" s="178"/>
      <c r="AA19" s="178">
        <v>1</v>
      </c>
    </row>
    <row r="20" spans="1:27" s="24" customFormat="1" ht="18">
      <c r="A20" s="539"/>
      <c r="B20" s="527"/>
      <c r="C20" s="536" t="s">
        <v>804</v>
      </c>
      <c r="D20" s="537"/>
      <c r="E20" s="538"/>
      <c r="F20" s="529"/>
      <c r="G20" s="530"/>
      <c r="H20" s="530"/>
      <c r="I20" s="530"/>
      <c r="J20" s="531"/>
      <c r="K20" s="102"/>
      <c r="L20" s="102"/>
      <c r="M20" s="134">
        <f>+IF($Z7&gt;2,INDEX(ArmorTypes,$Z7),"")</f>
      </c>
      <c r="N20" s="111"/>
      <c r="O20" s="111"/>
      <c r="P20" s="135"/>
      <c r="Q20" s="494">
        <f>IF($Z7&gt;2,P7,0)</f>
        <v>0</v>
      </c>
      <c r="R20" s="495"/>
      <c r="S20" s="74"/>
      <c r="T20" s="137" t="str">
        <f>INDEX(Skills,AA15)</f>
        <v>Climbing</v>
      </c>
      <c r="U20" s="172">
        <f aca="true" t="shared" si="0" ref="U20:U35">IF(T20&lt;&gt;"",INDEX(SkillCosts,AA15-1,MATCH(K15,SkillRanks))*EXM,"")</f>
        <v>0</v>
      </c>
      <c r="W20" s="102"/>
      <c r="X20" s="102"/>
      <c r="Z20" s="178"/>
      <c r="AA20" s="178">
        <v>1</v>
      </c>
    </row>
    <row r="21" spans="1:27" s="24" customFormat="1" ht="18">
      <c r="A21" s="539"/>
      <c r="B21" s="527"/>
      <c r="C21" s="536" t="s">
        <v>805</v>
      </c>
      <c r="D21" s="537"/>
      <c r="E21" s="538"/>
      <c r="F21" s="529"/>
      <c r="G21" s="530"/>
      <c r="H21" s="530"/>
      <c r="I21" s="530"/>
      <c r="J21" s="531"/>
      <c r="K21" s="102"/>
      <c r="L21" s="102"/>
      <c r="M21" s="134">
        <f>+IF(+M8&lt;&gt;"",+M8,"")</f>
      </c>
      <c r="N21" s="111"/>
      <c r="O21" s="111"/>
      <c r="P21" s="135"/>
      <c r="Q21" s="494">
        <f>+IF(M8&lt;&gt;"",+P8,0)</f>
        <v>0</v>
      </c>
      <c r="R21" s="495"/>
      <c r="S21" s="74"/>
      <c r="T21" s="137" t="str">
        <f aca="true" t="shared" si="1" ref="T21:T35">INDEX(Skills,AA16)</f>
        <v>Horsemanship</v>
      </c>
      <c r="U21" s="172">
        <f t="shared" si="0"/>
        <v>0</v>
      </c>
      <c r="W21" s="102"/>
      <c r="X21" s="102"/>
      <c r="Z21" s="178"/>
      <c r="AA21" s="178">
        <v>1</v>
      </c>
    </row>
    <row r="22" spans="1:27" s="24" customFormat="1" ht="18">
      <c r="A22" s="539"/>
      <c r="B22" s="527"/>
      <c r="C22" s="536"/>
      <c r="D22" s="537"/>
      <c r="E22" s="538"/>
      <c r="F22" s="529"/>
      <c r="G22" s="530"/>
      <c r="H22" s="530"/>
      <c r="I22" s="530"/>
      <c r="J22" s="531"/>
      <c r="K22" s="102"/>
      <c r="L22" s="102"/>
      <c r="M22" s="136" t="str">
        <f>+A49</f>
        <v>COPPER FARTHINGS(x0.25)</v>
      </c>
      <c r="N22" s="111"/>
      <c r="O22" s="111"/>
      <c r="P22" s="135"/>
      <c r="Q22" s="494">
        <f>+D49*4/16</f>
        <v>0</v>
      </c>
      <c r="R22" s="495"/>
      <c r="S22" s="74"/>
      <c r="T22" s="137" t="str">
        <f t="shared" si="1"/>
        <v>Stealth</v>
      </c>
      <c r="U22" s="172">
        <f t="shared" si="0"/>
        <v>0</v>
      </c>
      <c r="W22" s="102"/>
      <c r="X22" s="102"/>
      <c r="Z22" s="178"/>
      <c r="AA22" s="178">
        <v>1</v>
      </c>
    </row>
    <row r="23" spans="1:27" s="24" customFormat="1" ht="18">
      <c r="A23" s="539"/>
      <c r="B23" s="527"/>
      <c r="C23" s="536"/>
      <c r="D23" s="537"/>
      <c r="E23" s="538"/>
      <c r="F23" s="529"/>
      <c r="G23" s="530"/>
      <c r="H23" s="530"/>
      <c r="I23" s="530"/>
      <c r="J23" s="531"/>
      <c r="K23" s="102"/>
      <c r="L23" s="102"/>
      <c r="M23" s="136" t="str">
        <f>+A50</f>
        <v>SILVER PENNIES(x1)</v>
      </c>
      <c r="N23" s="111"/>
      <c r="O23" s="111"/>
      <c r="P23" s="135"/>
      <c r="Q23" s="494">
        <f>+D50*1/16</f>
        <v>0</v>
      </c>
      <c r="R23" s="495"/>
      <c r="S23" s="74"/>
      <c r="T23" s="137">
        <f t="shared" si="1"/>
      </c>
      <c r="U23" s="172">
        <f t="shared" si="0"/>
      </c>
      <c r="W23" s="102"/>
      <c r="X23" s="102"/>
      <c r="Z23" s="178"/>
      <c r="AA23" s="178">
        <v>1</v>
      </c>
    </row>
    <row r="24" spans="1:27" s="24" customFormat="1" ht="18">
      <c r="A24" s="539"/>
      <c r="B24" s="527"/>
      <c r="C24" s="536"/>
      <c r="D24" s="537"/>
      <c r="E24" s="538"/>
      <c r="F24" s="529"/>
      <c r="G24" s="530"/>
      <c r="H24" s="530"/>
      <c r="I24" s="530"/>
      <c r="J24" s="531"/>
      <c r="K24" s="102"/>
      <c r="L24" s="102"/>
      <c r="M24" s="136" t="str">
        <f>+A51</f>
        <v>GOLD SHILLINGS(x12)</v>
      </c>
      <c r="N24" s="111"/>
      <c r="O24" s="111"/>
      <c r="P24" s="135"/>
      <c r="Q24" s="494">
        <f>+D51*1/16</f>
        <v>0</v>
      </c>
      <c r="R24" s="495"/>
      <c r="S24" s="74"/>
      <c r="T24" s="137">
        <f t="shared" si="1"/>
      </c>
      <c r="U24" s="172">
        <f>IF(T24&lt;&gt;"",INDEX(SkillCosts,AA19-1,MATCH(K19,SkillRanks))*EXM,"")</f>
      </c>
      <c r="W24" s="102"/>
      <c r="X24" s="102"/>
      <c r="Z24" s="178"/>
      <c r="AA24" s="178">
        <v>1</v>
      </c>
    </row>
    <row r="25" spans="1:27" s="24" customFormat="1" ht="18">
      <c r="A25" s="539"/>
      <c r="B25" s="527"/>
      <c r="C25" s="536"/>
      <c r="D25" s="537"/>
      <c r="E25" s="538"/>
      <c r="F25" s="529"/>
      <c r="G25" s="530"/>
      <c r="H25" s="530"/>
      <c r="I25" s="530"/>
      <c r="J25" s="531"/>
      <c r="K25" s="102"/>
      <c r="L25" s="102"/>
      <c r="M25" s="136" t="str">
        <f>+A52</f>
        <v>TRUESILVER GUINEAS(x252)</v>
      </c>
      <c r="N25" s="111"/>
      <c r="O25" s="111"/>
      <c r="P25" s="135"/>
      <c r="Q25" s="494">
        <f>+D52*2/16</f>
        <v>0</v>
      </c>
      <c r="R25" s="495"/>
      <c r="S25" s="74"/>
      <c r="T25" s="137">
        <f t="shared" si="1"/>
      </c>
      <c r="U25" s="172">
        <f>IF(T25&lt;&gt;"",INDEX(SkillCosts,AA20-1,MATCH(K20,SkillRanks))*EXM,"")</f>
      </c>
      <c r="W25" s="102"/>
      <c r="X25" s="102"/>
      <c r="Z25" s="178"/>
      <c r="AA25" s="178">
        <v>1</v>
      </c>
    </row>
    <row r="26" spans="1:27" s="24" customFormat="1" ht="18">
      <c r="A26" s="539"/>
      <c r="B26" s="527"/>
      <c r="C26" s="536"/>
      <c r="D26" s="537"/>
      <c r="E26" s="538"/>
      <c r="F26" s="529"/>
      <c r="G26" s="530"/>
      <c r="H26" s="530"/>
      <c r="I26" s="530"/>
      <c r="J26" s="531"/>
      <c r="K26" s="102"/>
      <c r="L26" s="102"/>
      <c r="M26" s="528"/>
      <c r="N26" s="526"/>
      <c r="O26" s="526"/>
      <c r="P26" s="527"/>
      <c r="Q26" s="507"/>
      <c r="R26" s="508"/>
      <c r="S26" s="74"/>
      <c r="T26" s="137">
        <f t="shared" si="1"/>
      </c>
      <c r="U26" s="172"/>
      <c r="W26" s="102"/>
      <c r="X26" s="102"/>
      <c r="Z26" s="178"/>
      <c r="AA26" s="178">
        <v>1</v>
      </c>
    </row>
    <row r="27" spans="1:27" s="24" customFormat="1" ht="18">
      <c r="A27" s="539"/>
      <c r="B27" s="527"/>
      <c r="C27" s="536"/>
      <c r="D27" s="537"/>
      <c r="E27" s="538"/>
      <c r="F27" s="529"/>
      <c r="G27" s="530"/>
      <c r="H27" s="530"/>
      <c r="I27" s="530"/>
      <c r="J27" s="531"/>
      <c r="K27" s="102"/>
      <c r="L27" s="102"/>
      <c r="M27" s="528"/>
      <c r="N27" s="526"/>
      <c r="O27" s="526"/>
      <c r="P27" s="527"/>
      <c r="Q27" s="507"/>
      <c r="R27" s="508"/>
      <c r="S27" s="74"/>
      <c r="T27" s="137">
        <f t="shared" si="1"/>
      </c>
      <c r="U27" s="172"/>
      <c r="W27" s="102"/>
      <c r="X27" s="102"/>
      <c r="Z27" s="178"/>
      <c r="AA27" s="178">
        <v>1</v>
      </c>
    </row>
    <row r="28" spans="1:27" s="24" customFormat="1" ht="18">
      <c r="A28" s="539"/>
      <c r="B28" s="527"/>
      <c r="C28" s="529"/>
      <c r="D28" s="530"/>
      <c r="E28" s="531"/>
      <c r="F28" s="529"/>
      <c r="G28" s="530"/>
      <c r="H28" s="530"/>
      <c r="I28" s="530"/>
      <c r="J28" s="531"/>
      <c r="K28" s="102"/>
      <c r="L28" s="102"/>
      <c r="M28" s="528"/>
      <c r="N28" s="526"/>
      <c r="O28" s="526"/>
      <c r="P28" s="527"/>
      <c r="Q28" s="507"/>
      <c r="R28" s="508"/>
      <c r="S28" s="74"/>
      <c r="T28" s="137">
        <f t="shared" si="1"/>
      </c>
      <c r="U28" s="172">
        <f t="shared" si="0"/>
      </c>
      <c r="W28" s="102"/>
      <c r="X28" s="102"/>
      <c r="Z28" s="178"/>
      <c r="AA28" s="178">
        <v>1</v>
      </c>
    </row>
    <row r="29" spans="1:27" s="24" customFormat="1" ht="18">
      <c r="A29" s="539"/>
      <c r="B29" s="527"/>
      <c r="C29" s="529"/>
      <c r="D29" s="530"/>
      <c r="E29" s="531"/>
      <c r="F29" s="529"/>
      <c r="G29" s="530"/>
      <c r="H29" s="530"/>
      <c r="I29" s="530"/>
      <c r="J29" s="531"/>
      <c r="K29" s="102"/>
      <c r="L29" s="102"/>
      <c r="M29" s="528"/>
      <c r="N29" s="526"/>
      <c r="O29" s="526"/>
      <c r="P29" s="527"/>
      <c r="Q29" s="505"/>
      <c r="R29" s="506"/>
      <c r="S29" s="74"/>
      <c r="T29" s="137">
        <f t="shared" si="1"/>
      </c>
      <c r="U29" s="172">
        <f>IF(T29&lt;&gt;"",INDEX(SkillCosts,AA24-1,MATCH(K24,SkillRanks))*EXM,"")</f>
      </c>
      <c r="W29" s="102"/>
      <c r="X29" s="102"/>
      <c r="Z29" s="178"/>
      <c r="AA29" s="178">
        <v>1</v>
      </c>
    </row>
    <row r="30" spans="1:27" s="25" customFormat="1" ht="18">
      <c r="A30" s="539"/>
      <c r="B30" s="527"/>
      <c r="C30" s="529"/>
      <c r="D30" s="530"/>
      <c r="E30" s="531"/>
      <c r="F30" s="529"/>
      <c r="G30" s="530"/>
      <c r="H30" s="530"/>
      <c r="I30" s="530"/>
      <c r="J30" s="531"/>
      <c r="K30" s="102"/>
      <c r="L30" s="102"/>
      <c r="M30" s="528"/>
      <c r="N30" s="526"/>
      <c r="O30" s="526"/>
      <c r="P30" s="527"/>
      <c r="Q30" s="505"/>
      <c r="R30" s="506"/>
      <c r="S30" s="74"/>
      <c r="T30" s="137">
        <f t="shared" si="1"/>
      </c>
      <c r="U30" s="172">
        <f t="shared" si="0"/>
      </c>
      <c r="W30" s="221"/>
      <c r="X30" s="221"/>
      <c r="Z30" s="179"/>
      <c r="AA30" s="179">
        <v>1</v>
      </c>
    </row>
    <row r="31" spans="1:27" s="25" customFormat="1" ht="18">
      <c r="A31" s="539"/>
      <c r="B31" s="527"/>
      <c r="C31" s="529"/>
      <c r="D31" s="530"/>
      <c r="E31" s="531"/>
      <c r="F31" s="529"/>
      <c r="G31" s="530"/>
      <c r="H31" s="530"/>
      <c r="I31" s="530"/>
      <c r="J31" s="531"/>
      <c r="K31" s="102"/>
      <c r="L31" s="102"/>
      <c r="M31" s="528"/>
      <c r="N31" s="526"/>
      <c r="O31" s="526"/>
      <c r="P31" s="527"/>
      <c r="Q31" s="505"/>
      <c r="R31" s="506"/>
      <c r="S31" s="74"/>
      <c r="T31" s="137">
        <f t="shared" si="1"/>
      </c>
      <c r="U31" s="172">
        <f>IF(T31&lt;&gt;"",INDEX(SkillCosts,AA26-1,MATCH(K26,SkillRanks))*EXM,"")</f>
      </c>
      <c r="W31" s="221"/>
      <c r="X31" s="221"/>
      <c r="Z31" s="179"/>
      <c r="AA31" s="179">
        <v>1</v>
      </c>
    </row>
    <row r="32" spans="1:27" s="24" customFormat="1" ht="18">
      <c r="A32" s="539"/>
      <c r="B32" s="527"/>
      <c r="C32" s="529"/>
      <c r="D32" s="530"/>
      <c r="E32" s="531"/>
      <c r="F32" s="529"/>
      <c r="G32" s="530"/>
      <c r="H32" s="530"/>
      <c r="I32" s="530"/>
      <c r="J32" s="531"/>
      <c r="K32" s="102"/>
      <c r="L32" s="102"/>
      <c r="M32" s="528"/>
      <c r="N32" s="526"/>
      <c r="O32" s="526"/>
      <c r="P32" s="527"/>
      <c r="Q32" s="503"/>
      <c r="R32" s="504"/>
      <c r="S32" s="74"/>
      <c r="T32" s="137">
        <f t="shared" si="1"/>
      </c>
      <c r="U32" s="172">
        <f t="shared" si="0"/>
      </c>
      <c r="W32" s="102"/>
      <c r="X32" s="102"/>
      <c r="Z32" s="178"/>
      <c r="AA32" s="178">
        <v>1</v>
      </c>
    </row>
    <row r="33" spans="1:27" s="24" customFormat="1" ht="18">
      <c r="A33" s="539"/>
      <c r="B33" s="527"/>
      <c r="C33" s="529"/>
      <c r="D33" s="530"/>
      <c r="E33" s="531"/>
      <c r="F33" s="529"/>
      <c r="G33" s="530"/>
      <c r="H33" s="530"/>
      <c r="I33" s="530"/>
      <c r="J33" s="531"/>
      <c r="K33" s="102"/>
      <c r="L33" s="102"/>
      <c r="M33" s="528"/>
      <c r="N33" s="526"/>
      <c r="O33" s="526"/>
      <c r="P33" s="527"/>
      <c r="Q33" s="503"/>
      <c r="R33" s="504"/>
      <c r="S33" s="74"/>
      <c r="T33" s="137">
        <f t="shared" si="1"/>
      </c>
      <c r="U33" s="172">
        <f t="shared" si="0"/>
      </c>
      <c r="W33" s="102"/>
      <c r="X33" s="102"/>
      <c r="Z33" s="178"/>
      <c r="AA33" s="178"/>
    </row>
    <row r="34" spans="1:27" s="24" customFormat="1" ht="18">
      <c r="A34" s="539"/>
      <c r="B34" s="527"/>
      <c r="C34" s="529"/>
      <c r="D34" s="530"/>
      <c r="E34" s="531"/>
      <c r="F34" s="529"/>
      <c r="G34" s="530"/>
      <c r="H34" s="530"/>
      <c r="I34" s="530"/>
      <c r="J34" s="531"/>
      <c r="K34" s="102"/>
      <c r="L34" s="102"/>
      <c r="M34" s="528"/>
      <c r="N34" s="526"/>
      <c r="O34" s="526"/>
      <c r="P34" s="527"/>
      <c r="Q34" s="503"/>
      <c r="R34" s="504"/>
      <c r="S34" s="74"/>
      <c r="T34" s="137">
        <f t="shared" si="1"/>
      </c>
      <c r="U34" s="172">
        <f t="shared" si="0"/>
      </c>
      <c r="W34" s="102"/>
      <c r="X34" s="102"/>
      <c r="Z34" s="178"/>
      <c r="AA34" s="178"/>
    </row>
    <row r="35" spans="1:27" s="24" customFormat="1" ht="18.75" thickBot="1">
      <c r="A35" s="539"/>
      <c r="B35" s="527"/>
      <c r="C35" s="529"/>
      <c r="D35" s="530"/>
      <c r="E35" s="531"/>
      <c r="F35" s="529"/>
      <c r="G35" s="530"/>
      <c r="H35" s="530"/>
      <c r="I35" s="530"/>
      <c r="J35" s="531"/>
      <c r="K35" s="102"/>
      <c r="L35" s="102"/>
      <c r="M35" s="528"/>
      <c r="N35" s="526"/>
      <c r="O35" s="526"/>
      <c r="P35" s="527"/>
      <c r="Q35" s="503"/>
      <c r="R35" s="504"/>
      <c r="S35" s="74"/>
      <c r="T35" s="137">
        <f t="shared" si="1"/>
      </c>
      <c r="U35" s="172">
        <f t="shared" si="0"/>
      </c>
      <c r="W35" s="102"/>
      <c r="X35" s="102"/>
      <c r="Z35" s="178"/>
      <c r="AA35" s="178"/>
    </row>
    <row r="36" spans="1:27" s="24" customFormat="1" ht="18">
      <c r="A36" s="7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528"/>
      <c r="N36" s="526"/>
      <c r="O36" s="526"/>
      <c r="P36" s="527"/>
      <c r="Q36" s="503"/>
      <c r="R36" s="504"/>
      <c r="S36" s="74"/>
      <c r="T36" s="108">
        <f>+IF(A31&lt;&gt;"",A31,"")</f>
      </c>
      <c r="U36" s="173"/>
      <c r="W36" s="102"/>
      <c r="X36" s="102"/>
      <c r="Z36" s="178"/>
      <c r="AA36" s="178"/>
    </row>
    <row r="37" spans="1:27" s="25" customFormat="1" ht="18">
      <c r="A37" s="69" t="s">
        <v>215</v>
      </c>
      <c r="B37" s="70"/>
      <c r="C37" s="71"/>
      <c r="D37" s="21"/>
      <c r="E37" s="70"/>
      <c r="F37" s="71"/>
      <c r="G37" s="21"/>
      <c r="H37" s="21"/>
      <c r="I37" s="21"/>
      <c r="J37" s="21"/>
      <c r="K37" s="21"/>
      <c r="L37" s="70"/>
      <c r="M37" s="528"/>
      <c r="N37" s="526"/>
      <c r="O37" s="526"/>
      <c r="P37" s="527"/>
      <c r="Q37" s="503"/>
      <c r="R37" s="504"/>
      <c r="S37" s="74"/>
      <c r="T37" s="108">
        <f>+IF(A32&lt;&gt;"",A32,"")</f>
      </c>
      <c r="U37" s="173"/>
      <c r="W37" s="221"/>
      <c r="X37" s="221"/>
      <c r="Z37" s="179"/>
      <c r="AA37" s="179"/>
    </row>
    <row r="38" spans="1:27" s="25" customFormat="1" ht="18">
      <c r="A38" s="539"/>
      <c r="B38" s="526"/>
      <c r="C38" s="526"/>
      <c r="D38" s="526"/>
      <c r="E38" s="526"/>
      <c r="F38" s="526"/>
      <c r="G38" s="526"/>
      <c r="H38" s="526"/>
      <c r="I38" s="526"/>
      <c r="J38" s="526"/>
      <c r="K38" s="526"/>
      <c r="L38" s="514"/>
      <c r="M38" s="528"/>
      <c r="N38" s="526"/>
      <c r="O38" s="526"/>
      <c r="P38" s="527"/>
      <c r="Q38" s="503"/>
      <c r="R38" s="504"/>
      <c r="S38" s="74"/>
      <c r="T38" s="108">
        <f>+IF(A33&lt;&gt;"",A33,"")</f>
      </c>
      <c r="U38" s="173"/>
      <c r="W38" s="221"/>
      <c r="X38" s="221"/>
      <c r="Z38" s="179"/>
      <c r="AA38" s="179"/>
    </row>
    <row r="39" spans="1:27" s="24" customFormat="1" ht="18">
      <c r="A39" s="539"/>
      <c r="B39" s="526"/>
      <c r="C39" s="526"/>
      <c r="D39" s="526"/>
      <c r="E39" s="526"/>
      <c r="F39" s="526"/>
      <c r="G39" s="526"/>
      <c r="H39" s="526"/>
      <c r="I39" s="526"/>
      <c r="J39" s="526"/>
      <c r="K39" s="526"/>
      <c r="L39" s="514"/>
      <c r="M39" s="528"/>
      <c r="N39" s="526"/>
      <c r="O39" s="526"/>
      <c r="P39" s="527"/>
      <c r="Q39" s="503"/>
      <c r="R39" s="504"/>
      <c r="S39" s="74"/>
      <c r="T39" s="108">
        <f>+IF(A34&lt;&gt;"",A34,"")</f>
      </c>
      <c r="U39" s="173"/>
      <c r="W39" s="102"/>
      <c r="X39" s="102"/>
      <c r="Z39" s="178"/>
      <c r="AA39" s="178"/>
    </row>
    <row r="40" spans="1:27" s="24" customFormat="1" ht="18">
      <c r="A40" s="539"/>
      <c r="B40" s="526"/>
      <c r="C40" s="526"/>
      <c r="D40" s="526"/>
      <c r="E40" s="526"/>
      <c r="F40" s="526"/>
      <c r="G40" s="526"/>
      <c r="H40" s="526"/>
      <c r="I40" s="526"/>
      <c r="J40" s="526"/>
      <c r="K40" s="526"/>
      <c r="L40" s="514"/>
      <c r="M40" s="528"/>
      <c r="N40" s="526"/>
      <c r="O40" s="526"/>
      <c r="P40" s="527"/>
      <c r="Q40" s="503"/>
      <c r="R40" s="504"/>
      <c r="S40" s="74"/>
      <c r="T40" s="387" t="s">
        <v>637</v>
      </c>
      <c r="U40" s="173"/>
      <c r="W40" s="102"/>
      <c r="X40" s="102"/>
      <c r="Z40" s="178"/>
      <c r="AA40" s="178"/>
    </row>
    <row r="41" spans="1:27" s="24" customFormat="1" ht="18">
      <c r="A41" s="539"/>
      <c r="B41" s="526"/>
      <c r="C41" s="526"/>
      <c r="D41" s="526"/>
      <c r="E41" s="526"/>
      <c r="F41" s="526"/>
      <c r="G41" s="526"/>
      <c r="H41" s="526"/>
      <c r="I41" s="526"/>
      <c r="J41" s="526"/>
      <c r="K41" s="526"/>
      <c r="L41" s="514"/>
      <c r="M41" s="528"/>
      <c r="N41" s="526"/>
      <c r="O41" s="526"/>
      <c r="P41" s="527"/>
      <c r="Q41" s="503"/>
      <c r="R41" s="504"/>
      <c r="S41" s="74"/>
      <c r="T41" s="173"/>
      <c r="U41" s="102"/>
      <c r="W41" s="102"/>
      <c r="X41" s="102"/>
      <c r="Z41" s="178"/>
      <c r="AA41" s="178"/>
    </row>
    <row r="42" spans="1:27" s="25" customFormat="1" ht="18">
      <c r="A42" s="539"/>
      <c r="B42" s="526"/>
      <c r="C42" s="526"/>
      <c r="D42" s="526"/>
      <c r="E42" s="526"/>
      <c r="F42" s="526"/>
      <c r="G42" s="526"/>
      <c r="H42" s="526"/>
      <c r="I42" s="526"/>
      <c r="J42" s="526"/>
      <c r="K42" s="526"/>
      <c r="L42" s="514"/>
      <c r="M42" s="528"/>
      <c r="N42" s="526"/>
      <c r="O42" s="526"/>
      <c r="P42" s="527"/>
      <c r="Q42" s="503"/>
      <c r="R42" s="504"/>
      <c r="S42" s="74"/>
      <c r="T42" s="102"/>
      <c r="U42" s="102"/>
      <c r="W42" s="221"/>
      <c r="X42" s="221"/>
      <c r="Z42" s="179"/>
      <c r="AA42" s="179"/>
    </row>
    <row r="43" spans="1:27" s="25" customFormat="1" ht="18">
      <c r="A43" s="539"/>
      <c r="B43" s="526"/>
      <c r="C43" s="526"/>
      <c r="D43" s="526"/>
      <c r="E43" s="526"/>
      <c r="F43" s="526"/>
      <c r="G43" s="526"/>
      <c r="H43" s="526"/>
      <c r="I43" s="526"/>
      <c r="J43" s="526"/>
      <c r="K43" s="526"/>
      <c r="L43" s="514"/>
      <c r="M43" s="528"/>
      <c r="N43" s="526"/>
      <c r="O43" s="526"/>
      <c r="P43" s="527"/>
      <c r="Q43" s="503"/>
      <c r="R43" s="504"/>
      <c r="S43" s="74"/>
      <c r="T43" s="102"/>
      <c r="U43" s="102"/>
      <c r="W43" s="221"/>
      <c r="X43" s="221"/>
      <c r="Z43" s="179"/>
      <c r="AA43" s="179"/>
    </row>
    <row r="44" spans="1:27" s="25" customFormat="1" ht="18">
      <c r="A44" s="539"/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14"/>
      <c r="M44" s="528"/>
      <c r="N44" s="526"/>
      <c r="O44" s="526"/>
      <c r="P44" s="527"/>
      <c r="Q44" s="503"/>
      <c r="R44" s="504"/>
      <c r="S44" s="74"/>
      <c r="T44" s="102"/>
      <c r="U44" s="102"/>
      <c r="W44" s="221"/>
      <c r="X44" s="221"/>
      <c r="Z44" s="179"/>
      <c r="AA44" s="179"/>
    </row>
    <row r="45" spans="1:27" s="25" customFormat="1" ht="18">
      <c r="A45" s="539"/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14"/>
      <c r="M45" s="528"/>
      <c r="N45" s="526"/>
      <c r="O45" s="526"/>
      <c r="P45" s="527"/>
      <c r="Q45" s="503"/>
      <c r="R45" s="504"/>
      <c r="S45" s="74"/>
      <c r="T45" s="102"/>
      <c r="U45" s="102"/>
      <c r="W45" s="221"/>
      <c r="X45" s="221"/>
      <c r="Z45" s="179"/>
      <c r="AA45" s="179"/>
    </row>
    <row r="46" spans="1:27" s="25" customFormat="1" ht="18">
      <c r="A46" s="539"/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514"/>
      <c r="M46" s="56" t="s">
        <v>626</v>
      </c>
      <c r="N46" s="19"/>
      <c r="O46" s="19"/>
      <c r="P46" s="20"/>
      <c r="Q46" s="496">
        <f>SUM(Q15:R45)</f>
        <v>0</v>
      </c>
      <c r="R46" s="497"/>
      <c r="S46" s="74"/>
      <c r="T46" s="102"/>
      <c r="U46" s="102"/>
      <c r="W46" s="221"/>
      <c r="X46" s="221"/>
      <c r="Z46" s="179"/>
      <c r="AA46" s="179"/>
    </row>
    <row r="47" spans="1:27" s="25" customFormat="1" ht="18.75" thickBot="1">
      <c r="A47" s="515"/>
      <c r="B47" s="541"/>
      <c r="C47" s="541"/>
      <c r="D47" s="541"/>
      <c r="E47" s="541"/>
      <c r="F47" s="541"/>
      <c r="G47" s="541"/>
      <c r="H47" s="541"/>
      <c r="I47" s="541"/>
      <c r="J47" s="541"/>
      <c r="K47" s="541"/>
      <c r="L47" s="516"/>
      <c r="M47" s="60" t="s">
        <v>627</v>
      </c>
      <c r="N47" s="19"/>
      <c r="O47" s="19"/>
      <c r="P47" s="20"/>
      <c r="Q47" s="512">
        <f>INDEX(EncAGLoss,MATCH(WgtCarried,OFFSET(EncLoad,MATCH(PS,EncPS,1)-1,0,1),1))</f>
        <v>0</v>
      </c>
      <c r="R47" s="513"/>
      <c r="S47" s="79"/>
      <c r="T47" s="102"/>
      <c r="U47" s="102"/>
      <c r="W47" s="221"/>
      <c r="X47" s="221"/>
      <c r="Z47" s="179"/>
      <c r="AA47" s="179"/>
    </row>
    <row r="48" spans="1:27" s="25" customFormat="1" ht="18">
      <c r="A48" s="48" t="s">
        <v>628</v>
      </c>
      <c r="B48" s="49"/>
      <c r="C48" s="50"/>
      <c r="D48" s="51" t="s">
        <v>629</v>
      </c>
      <c r="E48" s="50"/>
      <c r="F48" s="34" t="s">
        <v>630</v>
      </c>
      <c r="G48" s="35"/>
      <c r="H48" s="57" t="s">
        <v>631</v>
      </c>
      <c r="I48" s="52"/>
      <c r="J48" s="553"/>
      <c r="K48" s="554"/>
      <c r="L48" s="554"/>
      <c r="M48" s="554"/>
      <c r="N48" s="554"/>
      <c r="O48" s="554"/>
      <c r="P48" s="554"/>
      <c r="Q48" s="554"/>
      <c r="R48" s="555"/>
      <c r="S48" s="81"/>
      <c r="T48" s="102"/>
      <c r="U48" s="102"/>
      <c r="W48" s="221"/>
      <c r="X48" s="221"/>
      <c r="Z48" s="179"/>
      <c r="AA48" s="179"/>
    </row>
    <row r="49" spans="1:27" s="25" customFormat="1" ht="18">
      <c r="A49" s="44" t="s">
        <v>390</v>
      </c>
      <c r="B49" s="32"/>
      <c r="C49" s="33"/>
      <c r="D49" s="517"/>
      <c r="E49" s="498"/>
      <c r="F49" s="501">
        <f>+D49/4</f>
        <v>0</v>
      </c>
      <c r="G49" s="502"/>
      <c r="H49" s="556"/>
      <c r="I49" s="557"/>
      <c r="J49" s="557"/>
      <c r="K49" s="557"/>
      <c r="L49" s="557"/>
      <c r="M49" s="557"/>
      <c r="N49" s="557"/>
      <c r="O49" s="557"/>
      <c r="P49" s="557"/>
      <c r="Q49" s="557"/>
      <c r="R49" s="558"/>
      <c r="S49" s="81"/>
      <c r="T49" s="102"/>
      <c r="U49" s="102"/>
      <c r="W49" s="221"/>
      <c r="X49" s="221"/>
      <c r="Z49" s="179"/>
      <c r="AA49" s="179"/>
    </row>
    <row r="50" spans="1:27" s="25" customFormat="1" ht="18">
      <c r="A50" s="44" t="s">
        <v>455</v>
      </c>
      <c r="B50" s="32"/>
      <c r="C50" s="33"/>
      <c r="D50" s="517"/>
      <c r="E50" s="498"/>
      <c r="F50" s="543">
        <f>+D50</f>
        <v>0</v>
      </c>
      <c r="G50" s="544"/>
      <c r="H50" s="556"/>
      <c r="I50" s="557"/>
      <c r="J50" s="557"/>
      <c r="K50" s="557"/>
      <c r="L50" s="557"/>
      <c r="M50" s="557"/>
      <c r="N50" s="557"/>
      <c r="O50" s="557"/>
      <c r="P50" s="557"/>
      <c r="Q50" s="557"/>
      <c r="R50" s="558"/>
      <c r="S50" s="81"/>
      <c r="T50" s="102"/>
      <c r="U50" s="102"/>
      <c r="W50" s="221"/>
      <c r="X50" s="221"/>
      <c r="Z50" s="179"/>
      <c r="AA50" s="179"/>
    </row>
    <row r="51" spans="1:27" s="25" customFormat="1" ht="18.75" thickBot="1">
      <c r="A51" s="44" t="s">
        <v>456</v>
      </c>
      <c r="B51" s="32"/>
      <c r="C51" s="33"/>
      <c r="D51" s="517"/>
      <c r="E51" s="498"/>
      <c r="F51" s="543">
        <f>+D51*12</f>
        <v>0</v>
      </c>
      <c r="G51" s="544"/>
      <c r="H51" s="547"/>
      <c r="I51" s="548"/>
      <c r="J51" s="548"/>
      <c r="K51" s="548"/>
      <c r="L51" s="548"/>
      <c r="M51" s="548"/>
      <c r="N51" s="548"/>
      <c r="O51" s="548"/>
      <c r="P51" s="548"/>
      <c r="Q51" s="548"/>
      <c r="R51" s="549"/>
      <c r="S51" s="81"/>
      <c r="T51" s="102"/>
      <c r="U51" s="102"/>
      <c r="W51" s="221"/>
      <c r="X51" s="221"/>
      <c r="Z51" s="179"/>
      <c r="AA51" s="179"/>
    </row>
    <row r="52" spans="1:27" s="25" customFormat="1" ht="18.75" thickBot="1">
      <c r="A52" s="44" t="s">
        <v>457</v>
      </c>
      <c r="B52" s="32"/>
      <c r="C52" s="33"/>
      <c r="D52" s="517"/>
      <c r="E52" s="498"/>
      <c r="F52" s="545">
        <f>+D52*252</f>
        <v>0</v>
      </c>
      <c r="G52" s="546"/>
      <c r="H52" s="57" t="s">
        <v>95</v>
      </c>
      <c r="I52" s="52"/>
      <c r="J52" s="52"/>
      <c r="K52" s="52"/>
      <c r="L52" s="52"/>
      <c r="M52" s="52"/>
      <c r="N52" s="52"/>
      <c r="O52" s="52"/>
      <c r="P52" s="54"/>
      <c r="Q52" s="58" t="s">
        <v>458</v>
      </c>
      <c r="R52" s="53"/>
      <c r="S52" s="103"/>
      <c r="T52" s="210"/>
      <c r="U52" s="211"/>
      <c r="W52" s="221"/>
      <c r="X52" s="221"/>
      <c r="Z52" s="179"/>
      <c r="AA52" s="179"/>
    </row>
    <row r="53" spans="1:27" s="25" customFormat="1" ht="18.75" thickBot="1">
      <c r="A53" s="45"/>
      <c r="B53" s="46"/>
      <c r="C53" s="46"/>
      <c r="D53" s="46"/>
      <c r="E53" s="59" t="s">
        <v>460</v>
      </c>
      <c r="F53" s="499">
        <f>SUM(F49:F52)</f>
        <v>0</v>
      </c>
      <c r="G53" s="500"/>
      <c r="H53" s="518"/>
      <c r="I53" s="519"/>
      <c r="J53" s="519"/>
      <c r="K53" s="519"/>
      <c r="L53" s="519"/>
      <c r="M53" s="519"/>
      <c r="N53" s="519"/>
      <c r="O53" s="519"/>
      <c r="P53" s="509"/>
      <c r="Q53" s="510">
        <f>INDEX(RaceExpMult,Z5)</f>
        <v>1</v>
      </c>
      <c r="R53" s="511"/>
      <c r="S53" s="103"/>
      <c r="T53" s="92" t="s">
        <v>461</v>
      </c>
      <c r="U53" s="107">
        <f>SUM(U15:U52)</f>
        <v>0</v>
      </c>
      <c r="W53" s="155" t="s">
        <v>359</v>
      </c>
      <c r="X53" s="156">
        <f>SUM(X15:X52)</f>
        <v>0</v>
      </c>
      <c r="Z53" s="179"/>
      <c r="AA53" s="179"/>
    </row>
    <row r="54" spans="1:27" s="25" customFormat="1" ht="18">
      <c r="A54" s="30" t="s">
        <v>508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S54" s="82"/>
      <c r="T54" s="6"/>
      <c r="U54" s="132"/>
      <c r="Z54" s="179"/>
      <c r="AA54" s="179"/>
    </row>
    <row r="55" spans="1:27" s="25" customFormat="1" ht="18">
      <c r="A55" s="30" t="s">
        <v>256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S55" s="82"/>
      <c r="T55" s="6" t="s">
        <v>462</v>
      </c>
      <c r="U55" s="132">
        <f>+'Magic Record'!L43</f>
        <v>0</v>
      </c>
      <c r="Z55" s="179"/>
      <c r="AA55" s="179"/>
    </row>
    <row r="56" spans="1:27" s="25" customFormat="1" ht="18.75" thickBot="1">
      <c r="A56" s="30" t="s">
        <v>288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S56" s="82"/>
      <c r="T56" s="6" t="s">
        <v>463</v>
      </c>
      <c r="U56" s="133">
        <f>+U53+U55</f>
        <v>0</v>
      </c>
      <c r="Z56" s="179"/>
      <c r="AA56" s="179"/>
    </row>
    <row r="57" spans="1:27" s="25" customFormat="1" ht="15.75" thickTop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S57" s="82"/>
      <c r="Z57" s="179"/>
      <c r="AA57" s="179"/>
    </row>
    <row r="58" spans="1:27" s="25" customFormat="1" ht="15">
      <c r="A58" s="30" t="s">
        <v>96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S58" s="82"/>
      <c r="Z58" s="179"/>
      <c r="AA58" s="179"/>
    </row>
    <row r="59" spans="1:27" s="25" customFormat="1" ht="15">
      <c r="A59" s="30" t="s">
        <v>275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S59" s="82"/>
      <c r="Z59" s="179"/>
      <c r="AA59" s="179"/>
    </row>
    <row r="60" spans="1:27" s="25" customFormat="1" ht="15">
      <c r="A60" s="30" t="s">
        <v>289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S60" s="82"/>
      <c r="Z60" s="179"/>
      <c r="AA60" s="179"/>
    </row>
    <row r="61" spans="1:27" s="25" customFormat="1" ht="15">
      <c r="A61" s="30" t="s">
        <v>97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S61" s="82"/>
      <c r="Z61" s="179"/>
      <c r="AA61" s="179"/>
    </row>
    <row r="62" spans="1:27" s="25" customFormat="1" ht="15">
      <c r="A62" s="30" t="s">
        <v>98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S62" s="82"/>
      <c r="Z62" s="179"/>
      <c r="AA62" s="179"/>
    </row>
    <row r="63" spans="1:27" s="25" customFormat="1" ht="15.75">
      <c r="A63" s="30" t="s">
        <v>277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S63" s="82"/>
      <c r="Z63" s="179"/>
      <c r="AA63" s="179"/>
    </row>
    <row r="64" spans="1:27" s="25" customFormat="1" ht="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S64" s="82"/>
      <c r="Z64" s="179"/>
      <c r="AA64" s="179"/>
    </row>
    <row r="65" spans="1:27" s="25" customFormat="1" ht="15">
      <c r="A65" s="30" t="s">
        <v>632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S65" s="82"/>
      <c r="Z65" s="179"/>
      <c r="AA65" s="179"/>
    </row>
    <row r="66" spans="1:27" s="25" customFormat="1" ht="15">
      <c r="A66" s="30" t="s">
        <v>509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S66" s="82"/>
      <c r="Z66" s="179"/>
      <c r="AA66" s="179"/>
    </row>
    <row r="67" spans="1:27" s="25" customFormat="1" ht="15">
      <c r="A67" s="30" t="s">
        <v>633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S67" s="82"/>
      <c r="Z67" s="179"/>
      <c r="AA67" s="179"/>
    </row>
    <row r="68" spans="1:12" ht="15">
      <c r="A68" s="81" t="s">
        <v>801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</sheetData>
  <mergeCells count="150">
    <mergeCell ref="B11:D11"/>
    <mergeCell ref="J48:R48"/>
    <mergeCell ref="H49:R49"/>
    <mergeCell ref="H50:R50"/>
    <mergeCell ref="B12:F12"/>
    <mergeCell ref="A38:L38"/>
    <mergeCell ref="A39:L39"/>
    <mergeCell ref="A40:L40"/>
    <mergeCell ref="A17:B17"/>
    <mergeCell ref="A18:B18"/>
    <mergeCell ref="H51:R51"/>
    <mergeCell ref="A41:L41"/>
    <mergeCell ref="A42:L42"/>
    <mergeCell ref="A43:L43"/>
    <mergeCell ref="A44:L44"/>
    <mergeCell ref="D49:E49"/>
    <mergeCell ref="D50:E50"/>
    <mergeCell ref="D51:E51"/>
    <mergeCell ref="Q43:R43"/>
    <mergeCell ref="Q44:R44"/>
    <mergeCell ref="F50:G50"/>
    <mergeCell ref="F51:G51"/>
    <mergeCell ref="F52:G52"/>
    <mergeCell ref="A19:B19"/>
    <mergeCell ref="A20:B20"/>
    <mergeCell ref="A21:B21"/>
    <mergeCell ref="A22:B22"/>
    <mergeCell ref="A23:B23"/>
    <mergeCell ref="A24:B24"/>
    <mergeCell ref="A25:B25"/>
    <mergeCell ref="Q15:R15"/>
    <mergeCell ref="Q16:R16"/>
    <mergeCell ref="Q46:R46"/>
    <mergeCell ref="Q34:R34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5:R35"/>
    <mergeCell ref="Q36:R36"/>
    <mergeCell ref="Q37:R37"/>
    <mergeCell ref="Q38:R38"/>
    <mergeCell ref="Q39:R39"/>
    <mergeCell ref="Q40:R40"/>
    <mergeCell ref="Q41:R41"/>
    <mergeCell ref="Q42:R42"/>
    <mergeCell ref="Q45:R45"/>
    <mergeCell ref="H53:P53"/>
    <mergeCell ref="Q53:R53"/>
    <mergeCell ref="Q47:R47"/>
    <mergeCell ref="M45:P45"/>
    <mergeCell ref="A45:L45"/>
    <mergeCell ref="A46:L46"/>
    <mergeCell ref="A47:L47"/>
    <mergeCell ref="D52:E52"/>
    <mergeCell ref="F53:G53"/>
    <mergeCell ref="F49:G49"/>
    <mergeCell ref="M44:P44"/>
    <mergeCell ref="M7:N7"/>
    <mergeCell ref="M8:N8"/>
    <mergeCell ref="M10:O10"/>
    <mergeCell ref="M11:O11"/>
    <mergeCell ref="M31:P31"/>
    <mergeCell ref="M32:P32"/>
    <mergeCell ref="M33:P33"/>
    <mergeCell ref="M34:P34"/>
    <mergeCell ref="M37:P37"/>
    <mergeCell ref="C29:E29"/>
    <mergeCell ref="A31:B31"/>
    <mergeCell ref="A32:B32"/>
    <mergeCell ref="A26:B26"/>
    <mergeCell ref="A27:B27"/>
    <mergeCell ref="A28:B28"/>
    <mergeCell ref="A29:B29"/>
    <mergeCell ref="C32:E32"/>
    <mergeCell ref="C33:E33"/>
    <mergeCell ref="A35:B35"/>
    <mergeCell ref="A30:B30"/>
    <mergeCell ref="A34:B34"/>
    <mergeCell ref="C34:E34"/>
    <mergeCell ref="C35:E35"/>
    <mergeCell ref="A33:B33"/>
    <mergeCell ref="C21:E21"/>
    <mergeCell ref="C22:E22"/>
    <mergeCell ref="C30:E30"/>
    <mergeCell ref="C31:E31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F15:J15"/>
    <mergeCell ref="F16:J16"/>
    <mergeCell ref="F17:J17"/>
    <mergeCell ref="F18:J18"/>
    <mergeCell ref="F19:J19"/>
    <mergeCell ref="F20:J20"/>
    <mergeCell ref="F21:J21"/>
    <mergeCell ref="F22:J22"/>
    <mergeCell ref="F33:J33"/>
    <mergeCell ref="F34:J34"/>
    <mergeCell ref="F27:J27"/>
    <mergeCell ref="F28:J28"/>
    <mergeCell ref="F29:J29"/>
    <mergeCell ref="F30:J30"/>
    <mergeCell ref="M29:P29"/>
    <mergeCell ref="M30:P30"/>
    <mergeCell ref="F31:J31"/>
    <mergeCell ref="F32:J32"/>
    <mergeCell ref="B10:D10"/>
    <mergeCell ref="M26:P26"/>
    <mergeCell ref="M27:P27"/>
    <mergeCell ref="M28:P28"/>
    <mergeCell ref="F23:J23"/>
    <mergeCell ref="F24:J24"/>
    <mergeCell ref="F25:J25"/>
    <mergeCell ref="F26:J26"/>
    <mergeCell ref="C15:E15"/>
    <mergeCell ref="C16:E16"/>
    <mergeCell ref="M41:P41"/>
    <mergeCell ref="M42:P42"/>
    <mergeCell ref="M43:P43"/>
    <mergeCell ref="F35:J35"/>
    <mergeCell ref="M38:P38"/>
    <mergeCell ref="M39:P39"/>
    <mergeCell ref="M40:P40"/>
    <mergeCell ref="M36:P36"/>
    <mergeCell ref="M35:P35"/>
    <mergeCell ref="B4:H4"/>
    <mergeCell ref="B7:D7"/>
    <mergeCell ref="B8:D8"/>
    <mergeCell ref="B9:D9"/>
  </mergeCells>
  <printOptions/>
  <pageMargins left="0.5" right="0.3" top="0.3" bottom="0.3" header="0.5" footer="0.5"/>
  <pageSetup fitToHeight="1" fitToWidth="1" horizontalDpi="300" verticalDpi="300" orientation="portrait" scale="76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C4" sqref="A4:P4"/>
    </sheetView>
  </sheetViews>
  <sheetFormatPr defaultColWidth="8.88671875" defaultRowHeight="15"/>
  <cols>
    <col min="1" max="1" width="11.5546875" style="0" customWidth="1"/>
    <col min="2" max="2" width="6.5546875" style="0" customWidth="1"/>
    <col min="3" max="3" width="10.10546875" style="0" customWidth="1"/>
    <col min="4" max="4" width="4.6640625" style="0" customWidth="1"/>
    <col min="5" max="5" width="2.10546875" style="0" customWidth="1"/>
    <col min="6" max="6" width="4.6640625" style="0" customWidth="1"/>
    <col min="7" max="7" width="4.4453125" style="0" customWidth="1"/>
    <col min="8" max="8" width="4.88671875" style="0" customWidth="1"/>
    <col min="9" max="9" width="3.99609375" style="0" customWidth="1"/>
    <col min="10" max="10" width="5.10546875" style="0" customWidth="1"/>
    <col min="11" max="11" width="3.4453125" style="0" customWidth="1"/>
    <col min="12" max="14" width="7.4453125" style="0" customWidth="1"/>
    <col min="15" max="15" width="10.6640625" style="0" hidden="1" customWidth="1"/>
    <col min="16" max="16" width="8.99609375" style="0" hidden="1" customWidth="1"/>
    <col min="17" max="17" width="10.6640625" style="0" customWidth="1"/>
    <col min="18" max="16384" width="11.5546875" style="0" customWidth="1"/>
  </cols>
  <sheetData>
    <row r="1" spans="1:3" ht="15">
      <c r="A1" s="640" t="s">
        <v>402</v>
      </c>
      <c r="B1" s="641"/>
      <c r="C1" s="642"/>
    </row>
    <row r="2" spans="1:3" ht="15">
      <c r="A2" s="643"/>
      <c r="B2" s="586"/>
      <c r="C2" s="587"/>
    </row>
    <row r="3" spans="1:3" ht="15.75">
      <c r="A3" s="651" t="s">
        <v>300</v>
      </c>
      <c r="B3" s="576"/>
      <c r="C3" s="613"/>
    </row>
    <row r="4" spans="1:18" ht="16.5" thickBot="1">
      <c r="A4" s="251" t="s">
        <v>138</v>
      </c>
      <c r="B4" s="251" t="s">
        <v>274</v>
      </c>
      <c r="C4" s="246" t="s">
        <v>718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O4" s="239" t="s">
        <v>364</v>
      </c>
      <c r="P4" s="239" t="s">
        <v>533</v>
      </c>
      <c r="R4" s="315"/>
    </row>
    <row r="5" spans="1:16" ht="15">
      <c r="A5" s="280" t="s">
        <v>500</v>
      </c>
      <c r="B5" s="280"/>
      <c r="C5" s="280"/>
      <c r="D5" s="281" t="e">
        <f>5*O5</f>
        <v>#N/A</v>
      </c>
      <c r="E5" s="317" t="s">
        <v>202</v>
      </c>
      <c r="F5" s="246" t="s">
        <v>522</v>
      </c>
      <c r="G5" s="246"/>
      <c r="H5" s="246"/>
      <c r="I5" s="253" t="e">
        <f>INT(O5/3)</f>
        <v>#N/A</v>
      </c>
      <c r="J5" s="246" t="s">
        <v>719</v>
      </c>
      <c r="K5" s="246"/>
      <c r="L5" s="1"/>
      <c r="M5" s="1"/>
      <c r="N5" s="296"/>
      <c r="O5" t="e">
        <f>INDEX('Character Record'!K15:K30,MATCH(16,'Character Record'!AA15:AA32,0))</f>
        <v>#N/A</v>
      </c>
      <c r="P5">
        <v>1</v>
      </c>
    </row>
    <row r="6" spans="1:18" ht="15.75">
      <c r="A6" s="246" t="s">
        <v>499</v>
      </c>
      <c r="B6" s="246"/>
      <c r="C6" s="246"/>
      <c r="D6" s="253" t="e">
        <f>2*O5</f>
        <v>#N/A</v>
      </c>
      <c r="E6" s="313" t="s">
        <v>202</v>
      </c>
      <c r="F6" s="119"/>
      <c r="G6" s="1"/>
      <c r="H6" s="1"/>
      <c r="I6" s="1"/>
      <c r="J6" s="1"/>
      <c r="K6" s="1"/>
      <c r="L6" s="1"/>
      <c r="M6" s="1"/>
      <c r="N6" s="314"/>
      <c r="O6" s="239" t="s">
        <v>48</v>
      </c>
      <c r="P6" s="239" t="s">
        <v>534</v>
      </c>
      <c r="R6" s="315"/>
    </row>
    <row r="7" spans="1:16" ht="15">
      <c r="A7" s="246" t="s">
        <v>501</v>
      </c>
      <c r="B7" s="246"/>
      <c r="C7" s="246"/>
      <c r="D7" s="253" t="e">
        <f>O5</f>
        <v>#N/A</v>
      </c>
      <c r="E7" s="313" t="s">
        <v>202</v>
      </c>
      <c r="F7" s="246" t="s">
        <v>93</v>
      </c>
      <c r="G7" s="253" t="e">
        <f>2*O5</f>
        <v>#N/A</v>
      </c>
      <c r="H7" s="246" t="s">
        <v>94</v>
      </c>
      <c r="I7" s="246"/>
      <c r="J7" s="246"/>
      <c r="K7" s="379"/>
      <c r="L7" s="1"/>
      <c r="M7" s="1"/>
      <c r="N7" s="314"/>
      <c r="O7">
        <f>PC</f>
        <v>8</v>
      </c>
      <c r="P7">
        <v>1</v>
      </c>
    </row>
    <row r="8" spans="1:18" ht="15.75">
      <c r="A8" s="246" t="s">
        <v>502</v>
      </c>
      <c r="B8" s="246"/>
      <c r="C8" s="246"/>
      <c r="D8" s="253" t="e">
        <f>FLOOR(1.5*O5,0.5)</f>
        <v>#N/A</v>
      </c>
      <c r="E8" s="313" t="s">
        <v>202</v>
      </c>
      <c r="F8" s="246" t="s">
        <v>93</v>
      </c>
      <c r="G8" s="253" t="e">
        <f>O5*2</f>
        <v>#N/A</v>
      </c>
      <c r="H8" s="246" t="s">
        <v>94</v>
      </c>
      <c r="I8" s="246"/>
      <c r="J8" s="246"/>
      <c r="K8" s="246"/>
      <c r="L8" s="1"/>
      <c r="M8" s="1"/>
      <c r="N8" s="314"/>
      <c r="P8" s="239" t="s">
        <v>535</v>
      </c>
      <c r="R8" s="315"/>
    </row>
    <row r="9" spans="1:16" ht="15.75" thickBot="1">
      <c r="A9" s="246" t="s">
        <v>503</v>
      </c>
      <c r="B9" s="246"/>
      <c r="C9" s="246"/>
      <c r="D9" s="253" t="e">
        <f>FLOOR(0.5*O5,0.5)</f>
        <v>#N/A</v>
      </c>
      <c r="E9" s="313" t="s">
        <v>202</v>
      </c>
      <c r="F9" s="246" t="s">
        <v>93</v>
      </c>
      <c r="G9" s="253" t="e">
        <f>O5*2</f>
        <v>#N/A</v>
      </c>
      <c r="H9" s="246" t="s">
        <v>94</v>
      </c>
      <c r="I9" s="246"/>
      <c r="J9" s="246"/>
      <c r="K9" s="246"/>
      <c r="L9" s="116"/>
      <c r="M9" s="116"/>
      <c r="N9" s="117"/>
      <c r="O9" t="s">
        <v>412</v>
      </c>
      <c r="P9">
        <v>1</v>
      </c>
    </row>
    <row r="10" spans="1:15" ht="15">
      <c r="A10" s="246" t="s">
        <v>505</v>
      </c>
      <c r="B10" s="246"/>
      <c r="C10" s="246"/>
      <c r="D10" s="253" t="e">
        <f>O7+12*O5</f>
        <v>#N/A</v>
      </c>
      <c r="E10" s="253" t="s">
        <v>202</v>
      </c>
      <c r="F10" s="271" t="s">
        <v>486</v>
      </c>
      <c r="H10" s="282" t="e">
        <f>11-O5</f>
        <v>#N/A</v>
      </c>
      <c r="I10" s="271" t="s">
        <v>504</v>
      </c>
      <c r="J10" s="271"/>
      <c r="K10" s="1"/>
      <c r="L10" s="1"/>
      <c r="M10" s="1"/>
      <c r="N10" s="1"/>
      <c r="O10" t="s">
        <v>523</v>
      </c>
    </row>
    <row r="11" spans="1:15" ht="15" customHeight="1">
      <c r="A11" s="246" t="s">
        <v>506</v>
      </c>
      <c r="B11" s="246"/>
      <c r="C11" s="246"/>
      <c r="D11" s="253" t="e">
        <f>O7+9*O5</f>
        <v>#N/A</v>
      </c>
      <c r="E11" s="253" t="s">
        <v>202</v>
      </c>
      <c r="F11" s="569" t="s">
        <v>521</v>
      </c>
      <c r="G11" s="569"/>
      <c r="H11" s="569"/>
      <c r="I11" s="569"/>
      <c r="J11" s="569"/>
      <c r="K11" s="569"/>
      <c r="L11" s="569"/>
      <c r="M11" s="250"/>
      <c r="N11" s="250"/>
      <c r="O11" t="s">
        <v>524</v>
      </c>
    </row>
    <row r="12" spans="1:15" ht="15">
      <c r="A12" s="588" t="s">
        <v>507</v>
      </c>
      <c r="B12" s="589"/>
      <c r="C12" s="605"/>
      <c r="D12" s="253" t="e">
        <f>O7+6*O5</f>
        <v>#N/A</v>
      </c>
      <c r="E12" s="253" t="s">
        <v>202</v>
      </c>
      <c r="F12" s="669"/>
      <c r="G12" s="669"/>
      <c r="H12" s="669"/>
      <c r="I12" s="669"/>
      <c r="J12" s="669"/>
      <c r="K12" s="669"/>
      <c r="L12" s="669"/>
      <c r="M12" s="250"/>
      <c r="N12" s="250"/>
      <c r="O12" t="s">
        <v>714</v>
      </c>
    </row>
    <row r="13" spans="1:15" ht="15">
      <c r="A13" s="246" t="s">
        <v>715</v>
      </c>
      <c r="B13" s="246"/>
      <c r="C13" s="246"/>
      <c r="D13" s="253" t="e">
        <f>250+(50*(O5*O5))</f>
        <v>#N/A</v>
      </c>
      <c r="E13" s="246" t="s">
        <v>716</v>
      </c>
      <c r="F13" s="246"/>
      <c r="G13" s="246"/>
      <c r="H13" s="246"/>
      <c r="I13" s="246"/>
      <c r="J13" s="246"/>
      <c r="K13" s="246"/>
      <c r="L13" s="246"/>
      <c r="M13" s="246"/>
      <c r="N13" s="246"/>
      <c r="O13" t="s">
        <v>525</v>
      </c>
    </row>
    <row r="14" ht="15">
      <c r="O14" t="s">
        <v>526</v>
      </c>
    </row>
    <row r="15" ht="15">
      <c r="O15" t="s">
        <v>527</v>
      </c>
    </row>
    <row r="16" ht="15">
      <c r="O16" t="s">
        <v>717</v>
      </c>
    </row>
    <row r="17" ht="15">
      <c r="O17" t="s">
        <v>528</v>
      </c>
    </row>
    <row r="18" ht="15">
      <c r="O18" t="s">
        <v>529</v>
      </c>
    </row>
    <row r="19" ht="15">
      <c r="O19" t="s">
        <v>530</v>
      </c>
    </row>
    <row r="20" ht="15">
      <c r="O20" t="s">
        <v>531</v>
      </c>
    </row>
    <row r="21" ht="15">
      <c r="O21" t="s">
        <v>532</v>
      </c>
    </row>
  </sheetData>
  <mergeCells count="4">
    <mergeCell ref="A1:C2"/>
    <mergeCell ref="A3:C3"/>
    <mergeCell ref="F11:L12"/>
    <mergeCell ref="A12:C12"/>
  </mergeCells>
  <printOptions/>
  <pageMargins left="0.75" right="0.75" top="1" bottom="1" header="0.5" footer="0.5"/>
  <pageSetup orientation="landscape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C4" sqref="A4:P4"/>
    </sheetView>
  </sheetViews>
  <sheetFormatPr defaultColWidth="8.88671875" defaultRowHeight="15"/>
  <cols>
    <col min="1" max="1" width="12.99609375" style="0" customWidth="1"/>
    <col min="2" max="2" width="5.5546875" style="0" customWidth="1"/>
    <col min="3" max="3" width="5.10546875" style="0" customWidth="1"/>
    <col min="4" max="4" width="7.10546875" style="0" customWidth="1"/>
    <col min="5" max="5" width="4.5546875" style="0" customWidth="1"/>
    <col min="6" max="6" width="4.4453125" style="0" customWidth="1"/>
    <col min="7" max="7" width="3.88671875" style="0" customWidth="1"/>
    <col min="8" max="8" width="2.6640625" style="0" customWidth="1"/>
    <col min="9" max="9" width="4.88671875" style="0" customWidth="1"/>
    <col min="10" max="10" width="3.99609375" style="0" customWidth="1"/>
    <col min="11" max="11" width="4.3359375" style="0" customWidth="1"/>
    <col min="12" max="12" width="4.5546875" style="0" customWidth="1"/>
    <col min="13" max="13" width="4.99609375" style="0" customWidth="1"/>
    <col min="14" max="14" width="6.10546875" style="0" customWidth="1"/>
    <col min="15" max="15" width="5.4453125" style="0" customWidth="1"/>
    <col min="16" max="16" width="4.5546875" style="0" customWidth="1"/>
    <col min="17" max="17" width="5.6640625" style="0" customWidth="1"/>
    <col min="18" max="18" width="4.5546875" style="0" hidden="1" customWidth="1"/>
    <col min="19" max="19" width="10.6640625" style="0" hidden="1" customWidth="1"/>
    <col min="20" max="16384" width="11.5546875" style="0" customWidth="1"/>
  </cols>
  <sheetData>
    <row r="1" spans="1:3" ht="15">
      <c r="A1" s="640" t="s">
        <v>402</v>
      </c>
      <c r="B1" s="641"/>
      <c r="C1" s="642"/>
    </row>
    <row r="2" spans="1:3" ht="15">
      <c r="A2" s="643"/>
      <c r="B2" s="586"/>
      <c r="C2" s="587"/>
    </row>
    <row r="3" spans="1:19" ht="15.75">
      <c r="A3" s="651" t="s">
        <v>300</v>
      </c>
      <c r="B3" s="576"/>
      <c r="C3" s="613"/>
      <c r="D3" s="246" t="s">
        <v>605</v>
      </c>
      <c r="E3" s="246"/>
      <c r="F3" s="259" t="e">
        <f>50+50*S4</f>
        <v>#N/A</v>
      </c>
      <c r="G3" s="246" t="s">
        <v>564</v>
      </c>
      <c r="H3" s="246"/>
      <c r="I3" s="246"/>
      <c r="S3" s="239" t="s">
        <v>364</v>
      </c>
    </row>
    <row r="4" spans="1:19" ht="15">
      <c r="A4" s="246" t="s">
        <v>139</v>
      </c>
      <c r="B4" s="246" t="s">
        <v>274</v>
      </c>
      <c r="C4" s="246" t="s">
        <v>711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1"/>
      <c r="P4" s="1"/>
      <c r="Q4" s="1"/>
      <c r="R4" s="1"/>
      <c r="S4" t="e">
        <f>INDEX('Character Record'!K15:K30,MATCH(17,'Character Record'!AA15:AA32,0))</f>
        <v>#N/A</v>
      </c>
    </row>
    <row r="5" spans="1:19" ht="15.75">
      <c r="A5" s="615" t="s">
        <v>584</v>
      </c>
      <c r="B5" s="615"/>
      <c r="C5" s="254" t="e">
        <f>15+(S4*S4)+(4*S6)</f>
        <v>#N/A</v>
      </c>
      <c r="D5" s="246" t="s">
        <v>585</v>
      </c>
      <c r="E5" s="246"/>
      <c r="F5" s="246"/>
      <c r="S5" s="239" t="s">
        <v>542</v>
      </c>
    </row>
    <row r="6" spans="1:19" ht="15">
      <c r="A6" s="262" t="s">
        <v>586</v>
      </c>
      <c r="B6" s="262"/>
      <c r="C6" s="254" t="e">
        <f>12-S4</f>
        <v>#N/A</v>
      </c>
      <c r="D6" s="262" t="s">
        <v>590</v>
      </c>
      <c r="E6" s="262" t="s">
        <v>591</v>
      </c>
      <c r="F6" s="262"/>
      <c r="G6" s="255">
        <f>15+S6</f>
        <v>30</v>
      </c>
      <c r="H6" s="262" t="s">
        <v>587</v>
      </c>
      <c r="I6" s="262"/>
      <c r="J6" s="262" t="s">
        <v>588</v>
      </c>
      <c r="K6" s="255" t="e">
        <f>2*S4</f>
        <v>#N/A</v>
      </c>
      <c r="L6" s="262" t="s">
        <v>589</v>
      </c>
      <c r="M6" s="262"/>
      <c r="N6" s="262"/>
      <c r="O6" s="262"/>
      <c r="P6" s="1"/>
      <c r="Q6" s="1"/>
      <c r="R6" s="1"/>
      <c r="S6">
        <f>WP</f>
        <v>15</v>
      </c>
    </row>
    <row r="7" spans="1:19" ht="15.75">
      <c r="A7" s="246" t="s">
        <v>592</v>
      </c>
      <c r="B7" s="246"/>
      <c r="C7" s="253" t="e">
        <f>S6+10*S4</f>
        <v>#N/A</v>
      </c>
      <c r="D7" s="267" t="s">
        <v>595</v>
      </c>
      <c r="E7" s="308"/>
      <c r="F7" s="246" t="s">
        <v>597</v>
      </c>
      <c r="G7" s="246"/>
      <c r="H7" s="246"/>
      <c r="I7" s="246"/>
      <c r="J7" s="246"/>
      <c r="K7" s="252" t="e">
        <f>30+5*S4</f>
        <v>#N/A</v>
      </c>
      <c r="L7" s="246" t="s">
        <v>594</v>
      </c>
      <c r="M7" s="246" t="s">
        <v>596</v>
      </c>
      <c r="N7" s="246"/>
      <c r="O7" s="246"/>
      <c r="P7" s="252" t="e">
        <f>12-S4</f>
        <v>#N/A</v>
      </c>
      <c r="Q7" s="246" t="s">
        <v>593</v>
      </c>
      <c r="S7" s="239" t="s">
        <v>48</v>
      </c>
    </row>
    <row r="8" spans="1:19" ht="15">
      <c r="A8" s="246" t="s">
        <v>712</v>
      </c>
      <c r="B8" s="246"/>
      <c r="C8" s="253" t="e">
        <f>S8+9*S4</f>
        <v>#N/A</v>
      </c>
      <c r="D8" s="246" t="s">
        <v>598</v>
      </c>
      <c r="E8" s="246"/>
      <c r="F8" s="252" t="e">
        <f>2*S4</f>
        <v>#N/A</v>
      </c>
      <c r="G8" s="246" t="s">
        <v>599</v>
      </c>
      <c r="H8" s="246"/>
      <c r="I8" s="246" t="s">
        <v>600</v>
      </c>
      <c r="J8" s="246"/>
      <c r="K8" s="246"/>
      <c r="L8" s="246"/>
      <c r="M8" s="246"/>
      <c r="N8" s="246"/>
      <c r="S8">
        <f>PC</f>
        <v>8</v>
      </c>
    </row>
    <row r="9" spans="1:3" ht="15">
      <c r="A9" s="262" t="s">
        <v>713</v>
      </c>
      <c r="B9" s="262"/>
      <c r="C9" s="254" t="e">
        <f>S4</f>
        <v>#N/A</v>
      </c>
    </row>
    <row r="10" spans="1:10" ht="15">
      <c r="A10" s="262" t="s">
        <v>601</v>
      </c>
      <c r="B10" s="262"/>
      <c r="C10" s="254" t="e">
        <f>20+10*S4</f>
        <v>#N/A</v>
      </c>
      <c r="D10" s="262" t="s">
        <v>602</v>
      </c>
      <c r="E10" s="262"/>
      <c r="F10" s="262"/>
      <c r="G10" s="262"/>
      <c r="H10" s="262"/>
      <c r="I10" s="262"/>
      <c r="J10" s="262"/>
    </row>
    <row r="11" spans="1:12" ht="15">
      <c r="A11" s="246" t="s">
        <v>603</v>
      </c>
      <c r="B11" s="246"/>
      <c r="C11" s="253" t="e">
        <f>INT(S4)</f>
        <v>#N/A</v>
      </c>
      <c r="D11" s="246" t="s">
        <v>604</v>
      </c>
      <c r="E11" s="246"/>
      <c r="F11" s="246"/>
      <c r="G11" s="246"/>
      <c r="H11" s="246"/>
      <c r="I11" s="246"/>
      <c r="J11" s="246"/>
      <c r="K11" s="246"/>
      <c r="L11" s="246"/>
    </row>
  </sheetData>
  <mergeCells count="3">
    <mergeCell ref="A1:C2"/>
    <mergeCell ref="A3:C3"/>
    <mergeCell ref="A5:B5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C4" sqref="A4:P4"/>
    </sheetView>
  </sheetViews>
  <sheetFormatPr defaultColWidth="8.88671875" defaultRowHeight="15"/>
  <cols>
    <col min="2" max="2" width="4.6640625" style="0" customWidth="1"/>
    <col min="3" max="3" width="8.3359375" style="0" customWidth="1"/>
    <col min="4" max="4" width="5.10546875" style="0" customWidth="1"/>
    <col min="5" max="5" width="7.6640625" style="0" customWidth="1"/>
    <col min="6" max="6" width="5.88671875" style="0" customWidth="1"/>
    <col min="7" max="7" width="5.6640625" style="0" customWidth="1"/>
    <col min="8" max="8" width="5.99609375" style="0" customWidth="1"/>
    <col min="9" max="9" width="3.6640625" style="0" customWidth="1"/>
    <col min="10" max="10" width="5.4453125" style="0" customWidth="1"/>
    <col min="11" max="11" width="6.99609375" style="0" customWidth="1"/>
    <col min="12" max="12" width="4.4453125" style="0" customWidth="1"/>
    <col min="13" max="13" width="6.4453125" style="0" customWidth="1"/>
    <col min="14" max="14" width="10.6640625" style="0" hidden="1" customWidth="1"/>
    <col min="15" max="16384" width="11.5546875" style="0" customWidth="1"/>
  </cols>
  <sheetData>
    <row r="1" spans="1:3" ht="15">
      <c r="A1" s="640" t="s">
        <v>402</v>
      </c>
      <c r="B1" s="641"/>
      <c r="C1" s="642"/>
    </row>
    <row r="2" spans="1:3" ht="15">
      <c r="A2" s="643"/>
      <c r="B2" s="586"/>
      <c r="C2" s="587"/>
    </row>
    <row r="3" spans="1:8" ht="15.75">
      <c r="A3" s="651" t="s">
        <v>300</v>
      </c>
      <c r="B3" s="576"/>
      <c r="C3" s="613"/>
      <c r="D3" s="246" t="s">
        <v>605</v>
      </c>
      <c r="E3" s="246"/>
      <c r="F3" s="259" t="e">
        <f>250+25*N5</f>
        <v>#N/A</v>
      </c>
      <c r="G3" s="246" t="s">
        <v>564</v>
      </c>
      <c r="H3" s="246"/>
    </row>
    <row r="4" spans="1:14" ht="15.75">
      <c r="A4" s="246" t="s">
        <v>140</v>
      </c>
      <c r="B4" s="246" t="s">
        <v>274</v>
      </c>
      <c r="C4" s="246" t="s">
        <v>606</v>
      </c>
      <c r="D4" s="246"/>
      <c r="E4" s="246"/>
      <c r="F4" s="246"/>
      <c r="G4" s="246"/>
      <c r="H4" s="246"/>
      <c r="I4" s="246"/>
      <c r="N4" s="239" t="s">
        <v>364</v>
      </c>
    </row>
    <row r="5" spans="1:14" ht="15">
      <c r="A5" s="246" t="s">
        <v>708</v>
      </c>
      <c r="B5" s="246"/>
      <c r="C5" s="246"/>
      <c r="D5" s="253" t="e">
        <f>25+7*N5</f>
        <v>#N/A</v>
      </c>
      <c r="E5" s="246" t="s">
        <v>510</v>
      </c>
      <c r="F5" s="246"/>
      <c r="G5" s="246"/>
      <c r="H5" s="246"/>
      <c r="I5" s="246"/>
      <c r="J5" s="196"/>
      <c r="K5" s="246"/>
      <c r="L5" s="246"/>
      <c r="M5" s="246"/>
      <c r="N5" t="e">
        <f>INDEX('Character Record'!K15:K30,MATCH(18,'Character Record'!AA15:AA32,0))</f>
        <v>#N/A</v>
      </c>
    </row>
    <row r="6" spans="1:14" ht="15.75">
      <c r="A6" s="246" t="s">
        <v>511</v>
      </c>
      <c r="B6" s="246"/>
      <c r="C6" s="246"/>
      <c r="D6" s="253">
        <f>100</f>
        <v>100</v>
      </c>
      <c r="N6" s="239" t="s">
        <v>48</v>
      </c>
    </row>
    <row r="7" spans="1:14" ht="15">
      <c r="A7" s="246" t="s">
        <v>512</v>
      </c>
      <c r="B7" s="246"/>
      <c r="C7" s="246"/>
      <c r="D7" s="253" t="e">
        <f>N7+10*N5</f>
        <v>#N/A</v>
      </c>
      <c r="E7" s="196" t="s">
        <v>510</v>
      </c>
      <c r="F7" s="246"/>
      <c r="G7" s="246"/>
      <c r="H7" s="246"/>
      <c r="I7" s="246"/>
      <c r="J7" s="196"/>
      <c r="K7" s="246"/>
      <c r="L7" s="246"/>
      <c r="M7" s="246"/>
      <c r="N7">
        <f>PC</f>
        <v>8</v>
      </c>
    </row>
    <row r="8" spans="1:12" ht="15">
      <c r="A8" s="246" t="s">
        <v>513</v>
      </c>
      <c r="B8" s="246"/>
      <c r="C8" s="246"/>
      <c r="D8" s="253" t="e">
        <f>2*N7+8*N5</f>
        <v>#N/A</v>
      </c>
      <c r="E8" s="246" t="s">
        <v>514</v>
      </c>
      <c r="F8" s="246"/>
      <c r="G8" s="246"/>
      <c r="H8" s="253" t="e">
        <f>4*N7+10*N5</f>
        <v>#N/A</v>
      </c>
      <c r="I8" s="246" t="s">
        <v>515</v>
      </c>
      <c r="J8" s="246"/>
      <c r="K8" s="246"/>
      <c r="L8" s="196"/>
    </row>
    <row r="9" spans="1:11" ht="15">
      <c r="A9" s="262" t="s">
        <v>709</v>
      </c>
      <c r="B9" s="262"/>
      <c r="C9" s="262"/>
      <c r="D9" s="254" t="e">
        <f>25+25*N5</f>
        <v>#N/A</v>
      </c>
      <c r="E9" s="262" t="s">
        <v>516</v>
      </c>
      <c r="F9" s="262" t="s">
        <v>517</v>
      </c>
      <c r="G9" s="262"/>
      <c r="H9" s="254" t="e">
        <f>50+5*N5</f>
        <v>#N/A</v>
      </c>
      <c r="I9" s="262" t="s">
        <v>710</v>
      </c>
      <c r="J9" s="262"/>
      <c r="K9" s="262"/>
    </row>
    <row r="10" spans="1:12" ht="15">
      <c r="A10" s="246" t="s">
        <v>518</v>
      </c>
      <c r="B10" s="246"/>
      <c r="C10" s="246"/>
      <c r="D10" s="253" t="e">
        <f>N7+5*N5</f>
        <v>#N/A</v>
      </c>
      <c r="E10" s="246" t="s">
        <v>519</v>
      </c>
      <c r="F10" s="246"/>
      <c r="G10" s="246"/>
      <c r="H10" s="246"/>
      <c r="I10" s="252" t="e">
        <f>4+2*N5</f>
        <v>#N/A</v>
      </c>
      <c r="J10" s="246" t="s">
        <v>520</v>
      </c>
      <c r="K10" s="246"/>
      <c r="L10" s="246"/>
    </row>
    <row r="11" spans="1:12" ht="15">
      <c r="A11" s="246" t="s">
        <v>129</v>
      </c>
      <c r="B11" s="246"/>
      <c r="C11" s="246"/>
      <c r="D11" s="253" t="e">
        <f>3*N7+7*N5</f>
        <v>#N/A</v>
      </c>
      <c r="E11" s="246" t="s">
        <v>130</v>
      </c>
      <c r="F11" s="246"/>
      <c r="G11" s="246"/>
      <c r="H11" s="246"/>
      <c r="I11" s="246"/>
      <c r="J11" s="246"/>
      <c r="K11" s="246"/>
      <c r="L11" s="246"/>
    </row>
  </sheetData>
  <mergeCells count="2">
    <mergeCell ref="A1:C2"/>
    <mergeCell ref="A3:C3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68" sqref="A68"/>
    </sheetView>
  </sheetViews>
  <sheetFormatPr defaultColWidth="8.88671875" defaultRowHeight="15"/>
  <cols>
    <col min="1" max="1" width="13.6640625" style="0" customWidth="1"/>
    <col min="2" max="2" width="6.77734375" style="0" customWidth="1"/>
    <col min="3" max="3" width="7.4453125" style="0" hidden="1" customWidth="1"/>
    <col min="4" max="4" width="11.5546875" style="0" customWidth="1"/>
    <col min="5" max="5" width="3.88671875" style="0" customWidth="1"/>
    <col min="6" max="6" width="7.99609375" style="0" customWidth="1"/>
    <col min="7" max="7" width="7.3359375" style="0" customWidth="1"/>
    <col min="8" max="8" width="11.5546875" style="0" customWidth="1"/>
    <col min="9" max="9" width="4.4453125" style="0" customWidth="1"/>
    <col min="10" max="10" width="2.99609375" style="0" customWidth="1"/>
    <col min="11" max="11" width="2.88671875" style="0" customWidth="1"/>
    <col min="12" max="12" width="3.5546875" style="0" customWidth="1"/>
    <col min="13" max="13" width="5.4453125" style="0" customWidth="1"/>
    <col min="14" max="14" width="3.5546875" style="0" customWidth="1"/>
    <col min="15" max="15" width="3.99609375" style="0" customWidth="1"/>
    <col min="16" max="16" width="7.5546875" style="0" hidden="1" customWidth="1"/>
    <col min="17" max="17" width="12.99609375" style="0" hidden="1" customWidth="1"/>
    <col min="18" max="16384" width="11.5546875" style="0" customWidth="1"/>
  </cols>
  <sheetData>
    <row r="1" spans="1:15" ht="15" customHeight="1">
      <c r="A1" s="597" t="s">
        <v>402</v>
      </c>
      <c r="B1" s="598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6"/>
    </row>
    <row r="2" spans="1:15" ht="15" customHeight="1">
      <c r="A2" s="599"/>
      <c r="B2" s="60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14"/>
    </row>
    <row r="3" spans="1:15" ht="18">
      <c r="A3" s="437" t="s">
        <v>300</v>
      </c>
      <c r="B3" s="269"/>
      <c r="C3" s="1"/>
      <c r="D3" s="246" t="s">
        <v>82</v>
      </c>
      <c r="E3" s="246"/>
      <c r="F3" s="246"/>
      <c r="G3" s="246"/>
      <c r="H3" s="1"/>
      <c r="I3" s="1"/>
      <c r="J3" s="1"/>
      <c r="K3" s="1"/>
      <c r="L3" s="1"/>
      <c r="M3" s="1"/>
      <c r="N3" s="1"/>
      <c r="O3" s="314"/>
    </row>
    <row r="4" spans="1:17" ht="18.75" customHeight="1" thickBot="1">
      <c r="A4" s="157" t="s">
        <v>141</v>
      </c>
      <c r="B4" s="594" t="s">
        <v>60</v>
      </c>
      <c r="C4" s="606"/>
      <c r="D4" s="607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/>
      <c r="P4" s="239" t="s">
        <v>364</v>
      </c>
      <c r="Q4" s="239" t="s">
        <v>59</v>
      </c>
    </row>
    <row r="5" spans="1:17" ht="15">
      <c r="A5" s="594" t="s">
        <v>61</v>
      </c>
      <c r="B5" s="594"/>
      <c r="C5" s="603"/>
      <c r="D5" s="604"/>
      <c r="E5" s="270" t="e">
        <f>10-P5</f>
        <v>#N/A</v>
      </c>
      <c r="F5" s="271" t="s">
        <v>62</v>
      </c>
      <c r="G5" s="1"/>
      <c r="H5" s="1"/>
      <c r="I5" s="1"/>
      <c r="J5" s="1"/>
      <c r="K5" s="1"/>
      <c r="L5" s="1"/>
      <c r="M5" s="1"/>
      <c r="N5" s="1"/>
      <c r="O5" s="314"/>
      <c r="P5" t="e">
        <f>INDEX('Character Record'!K15:K30,MATCH(19,'Character Record'!AA15:AA32,0))</f>
        <v>#N/A</v>
      </c>
      <c r="Q5">
        <v>9</v>
      </c>
    </row>
    <row r="6" spans="1:16" ht="15.75">
      <c r="A6" s="594" t="s">
        <v>63</v>
      </c>
      <c r="B6" s="594"/>
      <c r="C6" s="605"/>
      <c r="D6" s="594"/>
      <c r="E6" s="253" t="e">
        <f>90+P5</f>
        <v>#N/A</v>
      </c>
      <c r="F6" s="246" t="s">
        <v>66</v>
      </c>
      <c r="G6" s="246"/>
      <c r="H6" s="246"/>
      <c r="I6" s="252" t="e">
        <f>1+P5</f>
        <v>#N/A</v>
      </c>
      <c r="J6" s="246" t="s">
        <v>64</v>
      </c>
      <c r="K6" s="246"/>
      <c r="L6" s="246"/>
      <c r="M6" s="246"/>
      <c r="N6" s="1"/>
      <c r="O6" s="314"/>
      <c r="P6" s="239" t="s">
        <v>48</v>
      </c>
    </row>
    <row r="7" spans="1:16" ht="15">
      <c r="A7" s="594" t="s">
        <v>65</v>
      </c>
      <c r="B7" s="594"/>
      <c r="C7" s="605"/>
      <c r="D7" s="594"/>
      <c r="E7" s="253" t="e">
        <f>2*P7+7*P5</f>
        <v>#N/A</v>
      </c>
      <c r="F7" s="246" t="s">
        <v>423</v>
      </c>
      <c r="G7" s="246"/>
      <c r="H7" s="246"/>
      <c r="I7" s="246"/>
      <c r="J7" s="262"/>
      <c r="K7" s="252" t="e">
        <f>12-P5</f>
        <v>#N/A</v>
      </c>
      <c r="L7" s="246" t="s">
        <v>424</v>
      </c>
      <c r="M7" s="246"/>
      <c r="N7" s="1"/>
      <c r="O7" s="314"/>
      <c r="P7">
        <f>PC</f>
        <v>8</v>
      </c>
    </row>
    <row r="8" spans="1:16" ht="15.75">
      <c r="A8" s="594" t="s">
        <v>425</v>
      </c>
      <c r="B8" s="594"/>
      <c r="C8" s="605"/>
      <c r="D8" s="594"/>
      <c r="E8" s="254" t="e">
        <f>3*P7+5*P5</f>
        <v>#N/A</v>
      </c>
      <c r="F8" s="608" t="s">
        <v>426</v>
      </c>
      <c r="G8" s="609"/>
      <c r="H8" s="609"/>
      <c r="I8" s="609"/>
      <c r="J8" s="265"/>
      <c r="K8" s="266"/>
      <c r="L8" s="1"/>
      <c r="M8" s="1"/>
      <c r="N8" s="1"/>
      <c r="O8" s="314"/>
      <c r="P8" s="239" t="s">
        <v>49</v>
      </c>
    </row>
    <row r="9" spans="1:16" ht="15">
      <c r="A9" s="594" t="s">
        <v>427</v>
      </c>
      <c r="B9" s="594"/>
      <c r="C9" s="605"/>
      <c r="D9" s="594"/>
      <c r="E9" s="253" t="e">
        <f>P7+6*P5</f>
        <v>#N/A</v>
      </c>
      <c r="F9" s="610" t="s">
        <v>430</v>
      </c>
      <c r="G9" s="611"/>
      <c r="H9" s="611"/>
      <c r="I9" s="611"/>
      <c r="J9" s="596" t="s">
        <v>431</v>
      </c>
      <c r="K9" s="596"/>
      <c r="L9" s="264" t="e">
        <f>2+(P5*P5)</f>
        <v>#N/A</v>
      </c>
      <c r="M9" s="263" t="s">
        <v>432</v>
      </c>
      <c r="N9" s="1"/>
      <c r="O9" s="314"/>
      <c r="P9" t="s">
        <v>50</v>
      </c>
    </row>
    <row r="10" spans="1:16" ht="15">
      <c r="A10" s="593" t="s">
        <v>428</v>
      </c>
      <c r="B10" s="594"/>
      <c r="C10" s="594"/>
      <c r="D10" s="594"/>
      <c r="E10" s="253" t="e">
        <f>P7+6*P5</f>
        <v>#N/A</v>
      </c>
      <c r="F10" s="595" t="s">
        <v>429</v>
      </c>
      <c r="G10" s="595"/>
      <c r="H10" s="595"/>
      <c r="I10" s="263" t="s">
        <v>431</v>
      </c>
      <c r="J10" s="264" t="e">
        <f>2+(P5*P5)</f>
        <v>#N/A</v>
      </c>
      <c r="K10" s="596" t="s">
        <v>432</v>
      </c>
      <c r="L10" s="596"/>
      <c r="M10" s="1"/>
      <c r="N10" s="1"/>
      <c r="O10" s="314"/>
      <c r="P10" t="s">
        <v>51</v>
      </c>
    </row>
    <row r="11" spans="1:16" ht="15">
      <c r="A11" s="593" t="s">
        <v>689</v>
      </c>
      <c r="B11" s="594"/>
      <c r="C11" s="594"/>
      <c r="D11" s="594"/>
      <c r="E11" s="253">
        <v>100</v>
      </c>
      <c r="F11" s="1"/>
      <c r="G11" s="1"/>
      <c r="H11" s="1"/>
      <c r="I11" s="1"/>
      <c r="J11" s="1"/>
      <c r="K11" s="1"/>
      <c r="L11" s="1"/>
      <c r="M11" s="1"/>
      <c r="N11" s="1"/>
      <c r="O11" s="314"/>
      <c r="P11" t="s">
        <v>52</v>
      </c>
    </row>
    <row r="12" spans="1:16" ht="15">
      <c r="A12" s="593" t="s">
        <v>690</v>
      </c>
      <c r="B12" s="594"/>
      <c r="C12" s="594"/>
      <c r="D12" s="594"/>
      <c r="E12" s="254" t="e">
        <f>P7+10*P5</f>
        <v>#N/A</v>
      </c>
      <c r="F12" s="262" t="s">
        <v>183</v>
      </c>
      <c r="G12" s="262"/>
      <c r="H12" s="262"/>
      <c r="I12" s="1"/>
      <c r="J12" s="1"/>
      <c r="K12" s="1"/>
      <c r="L12" s="1"/>
      <c r="M12" s="1"/>
      <c r="N12" s="1"/>
      <c r="O12" s="314"/>
      <c r="P12" t="s">
        <v>53</v>
      </c>
    </row>
    <row r="13" spans="1:16" ht="15">
      <c r="A13" s="593" t="s">
        <v>185</v>
      </c>
      <c r="B13" s="594"/>
      <c r="C13" s="594"/>
      <c r="D13" s="594"/>
      <c r="E13" s="253" t="e">
        <f>15*P5</f>
        <v>#N/A</v>
      </c>
      <c r="F13" s="595" t="s">
        <v>184</v>
      </c>
      <c r="G13" s="595"/>
      <c r="H13" s="602" t="s">
        <v>186</v>
      </c>
      <c r="I13" s="602"/>
      <c r="J13" s="602"/>
      <c r="K13" s="602"/>
      <c r="L13" s="252" t="e">
        <f>12-P5</f>
        <v>#N/A</v>
      </c>
      <c r="M13" s="594" t="s">
        <v>187</v>
      </c>
      <c r="N13" s="594"/>
      <c r="O13" s="601"/>
      <c r="P13" t="s">
        <v>54</v>
      </c>
    </row>
    <row r="14" spans="1:16" ht="15">
      <c r="A14" s="593" t="s">
        <v>188</v>
      </c>
      <c r="B14" s="594"/>
      <c r="C14" s="594"/>
      <c r="D14" s="594"/>
      <c r="E14" s="253" t="e">
        <f>P5-5</f>
        <v>#N/A</v>
      </c>
      <c r="F14" s="267" t="s">
        <v>189</v>
      </c>
      <c r="G14" s="602" t="s">
        <v>186</v>
      </c>
      <c r="H14" s="602"/>
      <c r="I14" s="602"/>
      <c r="J14" s="602"/>
      <c r="K14" s="252" t="e">
        <f>12-P5</f>
        <v>#N/A</v>
      </c>
      <c r="L14" s="594" t="s">
        <v>187</v>
      </c>
      <c r="M14" s="594"/>
      <c r="N14" s="594"/>
      <c r="O14" s="314"/>
      <c r="P14" t="s">
        <v>55</v>
      </c>
    </row>
    <row r="15" spans="1:16" ht="15.75">
      <c r="A15" s="425" t="s">
        <v>190</v>
      </c>
      <c r="B15" s="424" t="str">
        <f>INDEX(P9:P21,Q5)</f>
        <v>Woods</v>
      </c>
      <c r="C15" s="262"/>
      <c r="D15" s="262" t="s">
        <v>191</v>
      </c>
      <c r="E15" s="254" t="e">
        <f>2*P5</f>
        <v>#N/A</v>
      </c>
      <c r="F15" s="1"/>
      <c r="G15" s="1"/>
      <c r="H15" s="1"/>
      <c r="I15" s="1"/>
      <c r="J15" s="1"/>
      <c r="K15" s="1"/>
      <c r="L15" s="1"/>
      <c r="M15" s="1"/>
      <c r="N15" s="1"/>
      <c r="O15" s="314"/>
      <c r="P15" t="s">
        <v>56</v>
      </c>
    </row>
    <row r="16" spans="1:16" ht="15">
      <c r="A16" s="593" t="s">
        <v>439</v>
      </c>
      <c r="B16" s="594"/>
      <c r="C16" s="594"/>
      <c r="D16" s="594"/>
      <c r="E16" s="253" t="e">
        <f>2*P5</f>
        <v>#N/A</v>
      </c>
      <c r="F16" s="594" t="s">
        <v>440</v>
      </c>
      <c r="G16" s="594"/>
      <c r="H16" s="594"/>
      <c r="I16" s="1"/>
      <c r="J16" s="1"/>
      <c r="K16" s="1"/>
      <c r="L16" s="1"/>
      <c r="M16" s="1"/>
      <c r="N16" s="1"/>
      <c r="O16" s="314"/>
      <c r="P16" t="s">
        <v>57</v>
      </c>
    </row>
    <row r="17" spans="1:16" ht="15">
      <c r="A17" s="426" t="s">
        <v>691</v>
      </c>
      <c r="B17" s="260"/>
      <c r="C17" s="260"/>
      <c r="D17" s="260"/>
      <c r="E17" s="253" t="e">
        <f>90+P5</f>
        <v>#N/A</v>
      </c>
      <c r="F17" s="260"/>
      <c r="G17" s="602" t="s">
        <v>692</v>
      </c>
      <c r="H17" s="602"/>
      <c r="I17" s="602"/>
      <c r="J17" s="602"/>
      <c r="K17" s="405"/>
      <c r="L17" s="612"/>
      <c r="M17" s="612"/>
      <c r="N17" s="612"/>
      <c r="O17" s="314"/>
      <c r="P17" t="s">
        <v>58</v>
      </c>
    </row>
    <row r="18" spans="1:15" ht="15">
      <c r="A18" s="426" t="s">
        <v>693</v>
      </c>
      <c r="B18" s="260"/>
      <c r="C18" s="260"/>
      <c r="D18" s="260"/>
      <c r="E18" s="253" t="e">
        <f>50+P5</f>
        <v>#N/A</v>
      </c>
      <c r="F18" s="260"/>
      <c r="G18" s="602" t="s">
        <v>692</v>
      </c>
      <c r="H18" s="602"/>
      <c r="I18" s="602"/>
      <c r="J18" s="602"/>
      <c r="K18" s="405"/>
      <c r="L18" s="260"/>
      <c r="M18" s="260"/>
      <c r="N18" s="260"/>
      <c r="O18" s="314"/>
    </row>
    <row r="19" spans="1:15" ht="15">
      <c r="A19" s="426" t="s">
        <v>694</v>
      </c>
      <c r="B19" s="260"/>
      <c r="C19" s="260"/>
      <c r="D19" s="260"/>
      <c r="E19" s="253" t="e">
        <f>30+P5</f>
        <v>#N/A</v>
      </c>
      <c r="F19" s="260"/>
      <c r="G19" s="602" t="s">
        <v>692</v>
      </c>
      <c r="H19" s="602"/>
      <c r="I19" s="602"/>
      <c r="J19" s="602"/>
      <c r="K19" s="405"/>
      <c r="L19" s="260"/>
      <c r="M19" s="260"/>
      <c r="N19" s="260"/>
      <c r="O19" s="314"/>
    </row>
    <row r="20" spans="1:15" ht="15">
      <c r="A20" s="426" t="s">
        <v>695</v>
      </c>
      <c r="B20" s="260"/>
      <c r="C20" s="260"/>
      <c r="D20" s="260"/>
      <c r="E20" s="253" t="e">
        <f>10+P5</f>
        <v>#N/A</v>
      </c>
      <c r="F20" s="260"/>
      <c r="G20" s="602" t="s">
        <v>692</v>
      </c>
      <c r="H20" s="602"/>
      <c r="I20" s="602"/>
      <c r="J20" s="602"/>
      <c r="K20" s="405"/>
      <c r="L20" s="260"/>
      <c r="M20" s="260"/>
      <c r="N20" s="260"/>
      <c r="O20" s="314"/>
    </row>
    <row r="21" spans="1:15" ht="15.75" thickBot="1">
      <c r="A21" s="120" t="s">
        <v>415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</row>
  </sheetData>
  <mergeCells count="29">
    <mergeCell ref="G20:J20"/>
    <mergeCell ref="G17:J17"/>
    <mergeCell ref="L17:N17"/>
    <mergeCell ref="G18:J18"/>
    <mergeCell ref="G19:J19"/>
    <mergeCell ref="F16:H16"/>
    <mergeCell ref="A16:D16"/>
    <mergeCell ref="B4:D4"/>
    <mergeCell ref="A14:D14"/>
    <mergeCell ref="A11:D11"/>
    <mergeCell ref="F8:I8"/>
    <mergeCell ref="F13:G13"/>
    <mergeCell ref="F9:I9"/>
    <mergeCell ref="H13:K13"/>
    <mergeCell ref="A12:D12"/>
    <mergeCell ref="A1:B2"/>
    <mergeCell ref="M13:O13"/>
    <mergeCell ref="G14:J14"/>
    <mergeCell ref="L14:N14"/>
    <mergeCell ref="A5:D5"/>
    <mergeCell ref="A6:D6"/>
    <mergeCell ref="A7:D7"/>
    <mergeCell ref="A8:D8"/>
    <mergeCell ref="A9:D9"/>
    <mergeCell ref="A10:D10"/>
    <mergeCell ref="A13:D13"/>
    <mergeCell ref="F10:H10"/>
    <mergeCell ref="K10:L10"/>
    <mergeCell ref="J9:K9"/>
  </mergeCells>
  <printOptions/>
  <pageMargins left="0.75" right="0.75" top="1" bottom="1" header="0.5" footer="0.5"/>
  <pageSetup orientation="landscape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1">
      <selection activeCell="C4" sqref="A4:P4"/>
    </sheetView>
  </sheetViews>
  <sheetFormatPr defaultColWidth="8.88671875" defaultRowHeight="15"/>
  <cols>
    <col min="1" max="1" width="13.10546875" style="0" customWidth="1"/>
    <col min="2" max="2" width="5.99609375" style="0" customWidth="1"/>
    <col min="3" max="3" width="3.10546875" style="0" customWidth="1"/>
    <col min="4" max="4" width="5.4453125" style="0" customWidth="1"/>
    <col min="5" max="5" width="4.5546875" style="0" customWidth="1"/>
    <col min="6" max="6" width="5.10546875" style="0" customWidth="1"/>
    <col min="7" max="7" width="3.6640625" style="0" customWidth="1"/>
    <col min="8" max="8" width="2.99609375" style="0" customWidth="1"/>
    <col min="9" max="9" width="3.99609375" style="0" customWidth="1"/>
    <col min="10" max="10" width="3.6640625" style="0" customWidth="1"/>
    <col min="11" max="11" width="4.88671875" style="0" customWidth="1"/>
    <col min="12" max="12" width="5.99609375" style="0" customWidth="1"/>
    <col min="13" max="13" width="4.3359375" style="0" customWidth="1"/>
    <col min="14" max="14" width="4.99609375" style="0" customWidth="1"/>
    <col min="15" max="17" width="4.88671875" style="0" customWidth="1"/>
    <col min="18" max="18" width="4.5546875" style="0" customWidth="1"/>
    <col min="19" max="16384" width="11.5546875" style="0" customWidth="1"/>
  </cols>
  <sheetData>
    <row r="1" spans="1:2" ht="15">
      <c r="A1" s="622" t="s">
        <v>402</v>
      </c>
      <c r="B1" s="600"/>
    </row>
    <row r="2" spans="1:21" ht="15.75">
      <c r="A2" s="622"/>
      <c r="B2" s="600"/>
      <c r="R2" s="239"/>
      <c r="S2" s="239"/>
      <c r="T2" s="239"/>
      <c r="U2" s="239"/>
    </row>
    <row r="3" spans="1:12" ht="18">
      <c r="A3" s="241" t="s">
        <v>300</v>
      </c>
      <c r="B3" s="240"/>
      <c r="C3" s="602" t="s">
        <v>705</v>
      </c>
      <c r="D3" s="602"/>
      <c r="E3" s="602"/>
      <c r="F3" s="602"/>
      <c r="G3" s="259" t="e">
        <f>250+(50*R5)</f>
        <v>#N/A</v>
      </c>
      <c r="H3" s="602" t="s">
        <v>81</v>
      </c>
      <c r="I3" s="602"/>
      <c r="J3" s="602"/>
      <c r="K3" s="602"/>
      <c r="L3" s="602"/>
    </row>
    <row r="4" spans="1:21" ht="16.5" thickBot="1">
      <c r="A4" s="272" t="s">
        <v>142</v>
      </c>
      <c r="B4" s="273" t="s">
        <v>274</v>
      </c>
      <c r="C4" s="579" t="s">
        <v>706</v>
      </c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257"/>
      <c r="Q4" s="257"/>
      <c r="R4" s="239" t="s">
        <v>364</v>
      </c>
      <c r="S4" s="239"/>
      <c r="T4" s="239"/>
      <c r="U4" s="239"/>
    </row>
    <row r="5" spans="1:18" ht="15">
      <c r="A5" s="280" t="s">
        <v>421</v>
      </c>
      <c r="B5" s="281" t="e">
        <f>(R7)+(4*R5)</f>
        <v>#N/A</v>
      </c>
      <c r="C5" s="635" t="s">
        <v>69</v>
      </c>
      <c r="D5" s="635"/>
      <c r="E5" s="635"/>
      <c r="F5" s="632" t="s">
        <v>348</v>
      </c>
      <c r="G5" s="633"/>
      <c r="H5" s="634"/>
      <c r="I5" s="274" t="e">
        <f>(240-(20*R5))</f>
        <v>#N/A</v>
      </c>
      <c r="J5" s="619" t="s">
        <v>417</v>
      </c>
      <c r="K5" s="619"/>
      <c r="L5" s="257"/>
      <c r="R5" t="e">
        <f>INDEX('Character Record'!K15:K30,MATCH(22,'Character Record'!AA15:AA32,0))</f>
        <v>#N/A</v>
      </c>
    </row>
    <row r="6" spans="1:21" ht="15.75">
      <c r="A6" s="246" t="s">
        <v>422</v>
      </c>
      <c r="B6" s="253" t="e">
        <f>(R7)+(3*R5)</f>
        <v>#N/A</v>
      </c>
      <c r="C6" s="595" t="s">
        <v>68</v>
      </c>
      <c r="D6" s="595"/>
      <c r="E6" s="595"/>
      <c r="F6" s="623" t="s">
        <v>348</v>
      </c>
      <c r="G6" s="624"/>
      <c r="H6" s="625"/>
      <c r="I6" s="252" t="e">
        <f>(30-(2*R5))</f>
        <v>#N/A</v>
      </c>
      <c r="J6" s="602" t="s">
        <v>100</v>
      </c>
      <c r="K6" s="602"/>
      <c r="L6" s="257"/>
      <c r="R6" s="239" t="s">
        <v>131</v>
      </c>
      <c r="S6" s="239"/>
      <c r="T6" s="239"/>
      <c r="U6" s="239"/>
    </row>
    <row r="7" spans="1:18" ht="15">
      <c r="A7" s="262" t="s">
        <v>67</v>
      </c>
      <c r="B7" s="254" t="e">
        <f>2*R9+(7*R5)</f>
        <v>#N/A</v>
      </c>
      <c r="C7" s="580" t="s">
        <v>348</v>
      </c>
      <c r="D7" s="580"/>
      <c r="E7" s="580"/>
      <c r="F7" s="255">
        <v>10</v>
      </c>
      <c r="G7" s="623" t="s">
        <v>417</v>
      </c>
      <c r="H7" s="624"/>
      <c r="I7" s="625"/>
      <c r="R7">
        <f>MD</f>
        <v>15</v>
      </c>
    </row>
    <row r="8" spans="1:21" ht="15.75">
      <c r="A8" s="262" t="s">
        <v>70</v>
      </c>
      <c r="B8" s="254" t="e">
        <f>R7+(7*R5)</f>
        <v>#N/A</v>
      </c>
      <c r="C8" s="667" t="s">
        <v>71</v>
      </c>
      <c r="D8" s="670"/>
      <c r="E8" s="670"/>
      <c r="F8" s="623" t="s">
        <v>348</v>
      </c>
      <c r="G8" s="624"/>
      <c r="H8" s="625"/>
      <c r="I8" s="255" t="e">
        <f>24-(2*R5)</f>
        <v>#N/A</v>
      </c>
      <c r="J8" s="262" t="s">
        <v>100</v>
      </c>
      <c r="K8" s="262"/>
      <c r="L8" s="1"/>
      <c r="R8" s="239" t="s">
        <v>48</v>
      </c>
      <c r="S8" s="239"/>
      <c r="T8" s="239"/>
      <c r="U8" s="239"/>
    </row>
    <row r="9" spans="1:18" ht="15">
      <c r="A9" s="246" t="s">
        <v>72</v>
      </c>
      <c r="B9" s="253" t="e">
        <f>(2*R9)+(5*R5)</f>
        <v>#N/A</v>
      </c>
      <c r="C9" s="623" t="s">
        <v>73</v>
      </c>
      <c r="D9" s="624"/>
      <c r="E9" s="624"/>
      <c r="F9" s="624"/>
      <c r="G9" s="624"/>
      <c r="H9" s="625"/>
      <c r="I9" s="253" t="e">
        <f>5+R5</f>
        <v>#N/A</v>
      </c>
      <c r="J9" s="246" t="s">
        <v>418</v>
      </c>
      <c r="K9" s="602" t="s">
        <v>74</v>
      </c>
      <c r="L9" s="602"/>
      <c r="M9" s="602"/>
      <c r="N9" s="602"/>
      <c r="O9" s="275"/>
      <c r="P9" s="275"/>
      <c r="Q9" s="275"/>
      <c r="R9">
        <f>PC</f>
        <v>8</v>
      </c>
    </row>
    <row r="10" spans="1:10" ht="15">
      <c r="A10" s="262" t="s">
        <v>75</v>
      </c>
      <c r="B10" s="254" t="e">
        <f>(3*R7)+(6*R5)</f>
        <v>#N/A</v>
      </c>
      <c r="C10" s="580" t="s">
        <v>76</v>
      </c>
      <c r="D10" s="580"/>
      <c r="E10" s="580"/>
      <c r="F10" s="580"/>
      <c r="G10" s="580"/>
      <c r="H10" s="580"/>
      <c r="I10" s="580"/>
      <c r="J10" s="580"/>
    </row>
    <row r="11" spans="1:17" ht="15">
      <c r="A11" s="262" t="s">
        <v>77</v>
      </c>
      <c r="B11" s="254" t="e">
        <f>2*B8+(12*R5)</f>
        <v>#N/A</v>
      </c>
      <c r="C11" s="256" t="s">
        <v>132</v>
      </c>
      <c r="D11" s="268"/>
      <c r="E11" s="268"/>
      <c r="F11" s="268"/>
      <c r="G11" s="318" t="e">
        <f>1+R5</f>
        <v>#N/A</v>
      </c>
      <c r="H11" s="316" t="s">
        <v>78</v>
      </c>
      <c r="I11" s="248"/>
      <c r="J11" s="246"/>
      <c r="K11" s="318" t="e">
        <f>R5</f>
        <v>#N/A</v>
      </c>
      <c r="L11" s="297" t="s">
        <v>419</v>
      </c>
      <c r="M11" s="246" t="s">
        <v>431</v>
      </c>
      <c r="N11" s="319" t="e">
        <f>120-(10*R5)</f>
        <v>#N/A</v>
      </c>
      <c r="O11" s="248" t="s">
        <v>276</v>
      </c>
      <c r="P11" s="246"/>
      <c r="Q11" s="246"/>
    </row>
    <row r="12" spans="1:17" ht="15">
      <c r="A12" s="246" t="s">
        <v>707</v>
      </c>
      <c r="B12" s="253" t="e">
        <f>5*R5</f>
        <v>#N/A</v>
      </c>
      <c r="C12" s="596" t="s">
        <v>24</v>
      </c>
      <c r="D12" s="671"/>
      <c r="E12" s="246" t="s">
        <v>25</v>
      </c>
      <c r="F12" s="246"/>
      <c r="G12" s="246"/>
      <c r="H12" s="246"/>
      <c r="I12" s="246"/>
      <c r="J12" s="246"/>
      <c r="K12" s="252" t="e">
        <f>60-5*R5</f>
        <v>#N/A</v>
      </c>
      <c r="L12" s="280" t="s">
        <v>26</v>
      </c>
      <c r="M12" s="1"/>
      <c r="N12" s="1"/>
      <c r="O12" s="1"/>
      <c r="P12" s="1"/>
      <c r="Q12" s="1"/>
    </row>
    <row r="13" spans="1:9" ht="15">
      <c r="A13" s="248" t="s">
        <v>22</v>
      </c>
      <c r="B13" s="320">
        <v>0.02</v>
      </c>
      <c r="C13" s="257"/>
      <c r="D13" s="257"/>
      <c r="E13" s="257"/>
      <c r="F13" s="257"/>
      <c r="G13" s="257"/>
      <c r="H13" s="257"/>
      <c r="I13" s="257"/>
    </row>
    <row r="14" spans="1:17" ht="15">
      <c r="A14" s="672" t="s">
        <v>703</v>
      </c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165"/>
      <c r="Q14" s="165"/>
    </row>
    <row r="15" ht="15.75" thickBot="1"/>
    <row r="16" spans="1:6" ht="15.75" thickBot="1">
      <c r="A16" s="654" t="s">
        <v>219</v>
      </c>
      <c r="B16" s="655"/>
      <c r="C16" s="655"/>
      <c r="D16" s="655"/>
      <c r="E16" s="655"/>
      <c r="F16" s="656"/>
    </row>
    <row r="17" spans="1:6" ht="15">
      <c r="A17" s="619" t="s">
        <v>220</v>
      </c>
      <c r="B17" s="619"/>
      <c r="C17" s="619"/>
      <c r="D17" s="619"/>
      <c r="E17" s="619"/>
      <c r="F17" s="279" t="s">
        <v>106</v>
      </c>
    </row>
    <row r="18" spans="1:6" ht="15">
      <c r="A18" s="673" t="s">
        <v>221</v>
      </c>
      <c r="B18" s="673"/>
      <c r="C18" s="673"/>
      <c r="D18" s="673"/>
      <c r="E18" s="673"/>
      <c r="F18" s="278" t="s">
        <v>107</v>
      </c>
    </row>
    <row r="19" spans="1:6" ht="15">
      <c r="A19" s="569" t="s">
        <v>222</v>
      </c>
      <c r="B19" s="569"/>
      <c r="C19" s="569"/>
      <c r="D19" s="569"/>
      <c r="E19" s="569"/>
      <c r="F19" s="674" t="s">
        <v>108</v>
      </c>
    </row>
    <row r="20" spans="1:6" ht="15">
      <c r="A20" s="569"/>
      <c r="B20" s="569"/>
      <c r="C20" s="569"/>
      <c r="D20" s="569"/>
      <c r="E20" s="569"/>
      <c r="F20" s="675"/>
    </row>
    <row r="21" spans="1:6" ht="15">
      <c r="A21" s="673" t="s">
        <v>223</v>
      </c>
      <c r="B21" s="673"/>
      <c r="C21" s="673"/>
      <c r="D21" s="673"/>
      <c r="E21" s="673"/>
      <c r="F21" s="278" t="s">
        <v>109</v>
      </c>
    </row>
    <row r="22" spans="1:6" ht="15">
      <c r="A22" s="569" t="s">
        <v>103</v>
      </c>
      <c r="B22" s="569"/>
      <c r="C22" s="569"/>
      <c r="D22" s="569"/>
      <c r="E22" s="569"/>
      <c r="F22" s="674" t="s">
        <v>110</v>
      </c>
    </row>
    <row r="23" spans="1:6" ht="15">
      <c r="A23" s="569"/>
      <c r="B23" s="569"/>
      <c r="C23" s="569"/>
      <c r="D23" s="569"/>
      <c r="E23" s="569"/>
      <c r="F23" s="676"/>
    </row>
    <row r="24" spans="1:6" ht="15">
      <c r="A24" s="569"/>
      <c r="B24" s="569"/>
      <c r="C24" s="569"/>
      <c r="D24" s="569"/>
      <c r="E24" s="569"/>
      <c r="F24" s="676"/>
    </row>
    <row r="25" spans="1:6" ht="15">
      <c r="A25" s="569"/>
      <c r="B25" s="569"/>
      <c r="C25" s="569"/>
      <c r="D25" s="569"/>
      <c r="E25" s="569"/>
      <c r="F25" s="675"/>
    </row>
    <row r="26" spans="1:6" ht="15">
      <c r="A26" s="677" t="s">
        <v>704</v>
      </c>
      <c r="B26" s="677"/>
      <c r="C26" s="677"/>
      <c r="D26" s="677"/>
      <c r="E26" s="677"/>
      <c r="F26" s="678" t="s">
        <v>111</v>
      </c>
    </row>
    <row r="27" spans="1:6" ht="15">
      <c r="A27" s="677"/>
      <c r="B27" s="677"/>
      <c r="C27" s="677"/>
      <c r="D27" s="677"/>
      <c r="E27" s="677"/>
      <c r="F27" s="679"/>
    </row>
    <row r="28" spans="1:6" ht="15">
      <c r="A28" s="686" t="s">
        <v>104</v>
      </c>
      <c r="B28" s="686"/>
      <c r="C28" s="686"/>
      <c r="D28" s="686"/>
      <c r="E28" s="686"/>
      <c r="F28" s="687" t="s">
        <v>112</v>
      </c>
    </row>
    <row r="29" spans="1:6" ht="15">
      <c r="A29" s="686"/>
      <c r="B29" s="686"/>
      <c r="C29" s="686"/>
      <c r="D29" s="686"/>
      <c r="E29" s="686"/>
      <c r="F29" s="688"/>
    </row>
    <row r="30" spans="1:6" ht="15">
      <c r="A30" s="686"/>
      <c r="B30" s="686"/>
      <c r="C30" s="686"/>
      <c r="D30" s="686"/>
      <c r="E30" s="686"/>
      <c r="F30" s="688"/>
    </row>
    <row r="31" spans="1:6" ht="15">
      <c r="A31" s="686"/>
      <c r="B31" s="686"/>
      <c r="C31" s="686"/>
      <c r="D31" s="686"/>
      <c r="E31" s="686"/>
      <c r="F31" s="689"/>
    </row>
    <row r="32" spans="1:6" ht="15">
      <c r="A32" s="677" t="s">
        <v>105</v>
      </c>
      <c r="B32" s="677"/>
      <c r="C32" s="677"/>
      <c r="D32" s="677"/>
      <c r="E32" s="677"/>
      <c r="F32" s="690" t="s">
        <v>113</v>
      </c>
    </row>
    <row r="33" spans="1:6" ht="15">
      <c r="A33" s="677"/>
      <c r="B33" s="677"/>
      <c r="C33" s="677"/>
      <c r="D33" s="677"/>
      <c r="E33" s="677"/>
      <c r="F33" s="690"/>
    </row>
    <row r="34" spans="1:8" ht="15">
      <c r="A34" s="602" t="s">
        <v>700</v>
      </c>
      <c r="B34" s="602"/>
      <c r="C34" s="602"/>
      <c r="D34" s="602"/>
      <c r="E34" s="602"/>
      <c r="F34" s="258" t="s">
        <v>114</v>
      </c>
      <c r="G34" s="277"/>
      <c r="H34" s="277"/>
    </row>
    <row r="35" spans="1:8" ht="15">
      <c r="A35" s="680" t="s">
        <v>115</v>
      </c>
      <c r="B35" s="681"/>
      <c r="C35" s="681"/>
      <c r="D35" s="681"/>
      <c r="E35" s="681"/>
      <c r="F35" s="682"/>
      <c r="G35" s="277"/>
      <c r="H35" s="277"/>
    </row>
    <row r="36" spans="1:6" ht="15">
      <c r="A36" s="683"/>
      <c r="B36" s="684"/>
      <c r="C36" s="684"/>
      <c r="D36" s="684"/>
      <c r="E36" s="684"/>
      <c r="F36" s="685"/>
    </row>
  </sheetData>
  <mergeCells count="35">
    <mergeCell ref="A34:E34"/>
    <mergeCell ref="A35:F36"/>
    <mergeCell ref="A28:E31"/>
    <mergeCell ref="F28:F31"/>
    <mergeCell ref="A32:E33"/>
    <mergeCell ref="F32:F33"/>
    <mergeCell ref="A21:E21"/>
    <mergeCell ref="A22:E25"/>
    <mergeCell ref="F22:F25"/>
    <mergeCell ref="A26:E27"/>
    <mergeCell ref="F26:F27"/>
    <mergeCell ref="A17:E17"/>
    <mergeCell ref="A18:E18"/>
    <mergeCell ref="A19:E20"/>
    <mergeCell ref="F19:F20"/>
    <mergeCell ref="C12:D12"/>
    <mergeCell ref="A14:O14"/>
    <mergeCell ref="A16:F16"/>
    <mergeCell ref="C9:H9"/>
    <mergeCell ref="K9:N9"/>
    <mergeCell ref="C10:J10"/>
    <mergeCell ref="C7:E7"/>
    <mergeCell ref="G7:I7"/>
    <mergeCell ref="C8:E8"/>
    <mergeCell ref="F8:H8"/>
    <mergeCell ref="C5:E5"/>
    <mergeCell ref="F5:H5"/>
    <mergeCell ref="J5:K5"/>
    <mergeCell ref="C6:E6"/>
    <mergeCell ref="F6:H6"/>
    <mergeCell ref="J6:K6"/>
    <mergeCell ref="A1:B2"/>
    <mergeCell ref="C3:F3"/>
    <mergeCell ref="H3:L3"/>
    <mergeCell ref="C4:O4"/>
  </mergeCells>
  <printOptions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C4" sqref="A4:P4"/>
    </sheetView>
  </sheetViews>
  <sheetFormatPr defaultColWidth="8.88671875" defaultRowHeight="15"/>
  <cols>
    <col min="1" max="1" width="13.10546875" style="0" customWidth="1"/>
    <col min="2" max="2" width="5.99609375" style="0" customWidth="1"/>
    <col min="3" max="3" width="3.10546875" style="0" customWidth="1"/>
    <col min="4" max="4" width="5.4453125" style="0" customWidth="1"/>
    <col min="5" max="5" width="4.5546875" style="0" customWidth="1"/>
    <col min="6" max="6" width="5.10546875" style="0" customWidth="1"/>
    <col min="7" max="7" width="3.6640625" style="0" customWidth="1"/>
    <col min="8" max="8" width="2.99609375" style="0" customWidth="1"/>
    <col min="9" max="9" width="3.3359375" style="0" customWidth="1"/>
    <col min="10" max="10" width="5.4453125" style="0" customWidth="1"/>
    <col min="11" max="11" width="4.88671875" style="0" customWidth="1"/>
    <col min="12" max="12" width="5.99609375" style="0" customWidth="1"/>
    <col min="13" max="14" width="3.88671875" style="0" customWidth="1"/>
    <col min="15" max="16" width="4.88671875" style="0" customWidth="1"/>
    <col min="17" max="17" width="3.5546875" style="0" customWidth="1"/>
    <col min="18" max="18" width="3.3359375" style="0" hidden="1" customWidth="1"/>
    <col min="19" max="19" width="3.3359375" style="0" customWidth="1"/>
    <col min="20" max="16384" width="11.5546875" style="0" customWidth="1"/>
  </cols>
  <sheetData>
    <row r="1" spans="1:2" ht="15">
      <c r="A1" s="622" t="s">
        <v>402</v>
      </c>
      <c r="B1" s="600"/>
    </row>
    <row r="2" spans="1:2" ht="15">
      <c r="A2" s="622"/>
      <c r="B2" s="600"/>
    </row>
    <row r="3" spans="1:12" ht="18">
      <c r="A3" s="241" t="s">
        <v>300</v>
      </c>
      <c r="B3" s="240"/>
      <c r="C3" s="602" t="s">
        <v>701</v>
      </c>
      <c r="D3" s="602"/>
      <c r="E3" s="602"/>
      <c r="F3" s="602"/>
      <c r="G3" s="259" t="e">
        <f>250+(50*R5)</f>
        <v>#N/A</v>
      </c>
      <c r="H3" s="602" t="s">
        <v>81</v>
      </c>
      <c r="I3" s="602"/>
      <c r="J3" s="602"/>
      <c r="K3" s="602"/>
      <c r="L3" s="602"/>
    </row>
    <row r="4" spans="1:19" ht="16.5" thickBot="1">
      <c r="A4" s="272" t="s">
        <v>143</v>
      </c>
      <c r="B4" s="273" t="s">
        <v>274</v>
      </c>
      <c r="C4" s="579" t="s">
        <v>702</v>
      </c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257"/>
      <c r="Q4" s="257"/>
      <c r="R4" s="239" t="s">
        <v>364</v>
      </c>
      <c r="S4" s="239"/>
    </row>
    <row r="5" spans="1:18" ht="15">
      <c r="A5" s="280" t="s">
        <v>421</v>
      </c>
      <c r="B5" s="281" t="e">
        <f>(2*R7)+(6*R5)</f>
        <v>#N/A</v>
      </c>
      <c r="C5" s="635" t="s">
        <v>69</v>
      </c>
      <c r="D5" s="635"/>
      <c r="E5" s="635"/>
      <c r="F5" s="632" t="s">
        <v>348</v>
      </c>
      <c r="G5" s="633"/>
      <c r="H5" s="634"/>
      <c r="I5" s="274" t="e">
        <f>(240-(20*R5))/2</f>
        <v>#N/A</v>
      </c>
      <c r="J5" s="619" t="s">
        <v>417</v>
      </c>
      <c r="K5" s="619"/>
      <c r="L5" s="257"/>
      <c r="R5" t="e">
        <f>INDEX('Character Record'!K15:K30,MATCH(24,'Character Record'!AA15:AA32,0))</f>
        <v>#N/A</v>
      </c>
    </row>
    <row r="6" spans="1:19" ht="15.75">
      <c r="A6" s="246" t="s">
        <v>422</v>
      </c>
      <c r="B6" s="253" t="e">
        <f>(2*R7)+(5*R5)</f>
        <v>#N/A</v>
      </c>
      <c r="C6" s="595" t="s">
        <v>68</v>
      </c>
      <c r="D6" s="595"/>
      <c r="E6" s="595"/>
      <c r="F6" s="623" t="s">
        <v>348</v>
      </c>
      <c r="G6" s="624"/>
      <c r="H6" s="625"/>
      <c r="I6" s="252" t="e">
        <f>(30-(2*R5))/2</f>
        <v>#N/A</v>
      </c>
      <c r="J6" s="602" t="s">
        <v>100</v>
      </c>
      <c r="K6" s="602"/>
      <c r="L6" s="257"/>
      <c r="R6" s="239" t="s">
        <v>622</v>
      </c>
      <c r="S6" s="239"/>
    </row>
    <row r="7" spans="1:18" ht="15">
      <c r="A7" s="262" t="s">
        <v>67</v>
      </c>
      <c r="B7" s="254" t="e">
        <f>R9+(11*R5)</f>
        <v>#N/A</v>
      </c>
      <c r="C7" s="580" t="s">
        <v>348</v>
      </c>
      <c r="D7" s="580"/>
      <c r="E7" s="580"/>
      <c r="F7" s="255">
        <v>10</v>
      </c>
      <c r="G7" s="623" t="s">
        <v>417</v>
      </c>
      <c r="H7" s="624"/>
      <c r="I7" s="625"/>
      <c r="R7">
        <f>MD</f>
        <v>15</v>
      </c>
    </row>
    <row r="8" spans="1:19" ht="15.75">
      <c r="A8" s="262" t="s">
        <v>70</v>
      </c>
      <c r="B8" s="254" t="e">
        <f>2*R7+(11*R5)</f>
        <v>#N/A</v>
      </c>
      <c r="C8" s="667" t="s">
        <v>71</v>
      </c>
      <c r="D8" s="670"/>
      <c r="E8" s="670"/>
      <c r="F8" s="623" t="s">
        <v>348</v>
      </c>
      <c r="G8" s="624"/>
      <c r="H8" s="625"/>
      <c r="I8" s="255" t="e">
        <f>(24-(2*R5))/2</f>
        <v>#N/A</v>
      </c>
      <c r="J8" s="262" t="s">
        <v>100</v>
      </c>
      <c r="K8" s="262"/>
      <c r="L8" s="1"/>
      <c r="R8" s="239" t="s">
        <v>48</v>
      </c>
      <c r="S8" s="239"/>
    </row>
    <row r="9" spans="1:18" ht="15">
      <c r="A9" s="246" t="s">
        <v>72</v>
      </c>
      <c r="B9" s="253" t="e">
        <f>(2*R9)+(5*R5)</f>
        <v>#N/A</v>
      </c>
      <c r="C9" s="623" t="s">
        <v>73</v>
      </c>
      <c r="D9" s="624"/>
      <c r="E9" s="624"/>
      <c r="F9" s="624"/>
      <c r="G9" s="624"/>
      <c r="H9" s="625"/>
      <c r="I9" s="253" t="e">
        <f>5+R5</f>
        <v>#N/A</v>
      </c>
      <c r="J9" s="246" t="s">
        <v>418</v>
      </c>
      <c r="K9" s="602" t="s">
        <v>74</v>
      </c>
      <c r="L9" s="602"/>
      <c r="M9" s="602"/>
      <c r="N9" s="602"/>
      <c r="O9" s="275"/>
      <c r="P9" s="275"/>
      <c r="Q9" s="275"/>
      <c r="R9">
        <f>PC</f>
        <v>8</v>
      </c>
    </row>
    <row r="10" spans="1:10" ht="15">
      <c r="A10" s="262" t="s">
        <v>75</v>
      </c>
      <c r="B10" s="254" t="e">
        <f>(3*R7)+(6*R5)</f>
        <v>#N/A</v>
      </c>
      <c r="C10" s="580" t="s">
        <v>76</v>
      </c>
      <c r="D10" s="580"/>
      <c r="E10" s="580"/>
      <c r="F10" s="580"/>
      <c r="G10" s="580"/>
      <c r="H10" s="580"/>
      <c r="I10" s="580"/>
      <c r="J10" s="580"/>
    </row>
    <row r="11" spans="1:19" ht="15">
      <c r="A11" s="262" t="s">
        <v>77</v>
      </c>
      <c r="B11" s="254" t="e">
        <f>B8+(10*R5)</f>
        <v>#N/A</v>
      </c>
      <c r="C11" s="256" t="s">
        <v>132</v>
      </c>
      <c r="D11" s="268"/>
      <c r="E11" s="268"/>
      <c r="F11" s="268"/>
      <c r="G11" s="318" t="e">
        <f>1+R5</f>
        <v>#N/A</v>
      </c>
      <c r="H11" s="321" t="s">
        <v>78</v>
      </c>
      <c r="I11" s="256"/>
      <c r="J11" s="246"/>
      <c r="K11" s="318" t="e">
        <f>R5</f>
        <v>#N/A</v>
      </c>
      <c r="L11" s="268" t="s">
        <v>419</v>
      </c>
      <c r="M11" s="246" t="s">
        <v>431</v>
      </c>
      <c r="N11" s="319" t="e">
        <f>120-(10*R5)</f>
        <v>#N/A</v>
      </c>
      <c r="O11" s="246" t="s">
        <v>21</v>
      </c>
      <c r="P11" s="246"/>
      <c r="Q11" s="246"/>
      <c r="R11" s="1"/>
      <c r="S11" s="1"/>
    </row>
    <row r="12" spans="1:17" ht="15">
      <c r="A12" s="246" t="s">
        <v>79</v>
      </c>
      <c r="B12" s="313" t="e">
        <f>4*R7+10*R5</f>
        <v>#N/A</v>
      </c>
      <c r="C12" s="595" t="s">
        <v>80</v>
      </c>
      <c r="D12" s="595"/>
      <c r="E12" s="246" t="s">
        <v>218</v>
      </c>
      <c r="F12" s="246"/>
      <c r="G12" s="246"/>
      <c r="H12" s="246"/>
      <c r="I12" s="246"/>
      <c r="J12" s="196"/>
      <c r="K12" s="246"/>
      <c r="L12" s="246"/>
      <c r="M12" s="246"/>
      <c r="N12" s="246"/>
      <c r="O12" s="280"/>
      <c r="P12" s="1"/>
      <c r="Q12" s="1"/>
    </row>
    <row r="13" spans="1:9" ht="15">
      <c r="A13" s="248" t="s">
        <v>23</v>
      </c>
      <c r="B13" s="320">
        <v>0.01</v>
      </c>
      <c r="C13" s="257"/>
      <c r="D13" s="257"/>
      <c r="E13" s="257"/>
      <c r="F13" s="257"/>
      <c r="G13" s="257"/>
      <c r="H13" s="257"/>
      <c r="I13" s="257"/>
    </row>
    <row r="14" spans="1:17" ht="15">
      <c r="A14" s="672" t="s">
        <v>703</v>
      </c>
      <c r="B14" s="672"/>
      <c r="C14" s="672"/>
      <c r="D14" s="672"/>
      <c r="E14" s="672"/>
      <c r="F14" s="672"/>
      <c r="G14" s="672"/>
      <c r="H14" s="672"/>
      <c r="I14" s="672"/>
      <c r="J14" s="672"/>
      <c r="K14" s="672"/>
      <c r="L14" s="672"/>
      <c r="M14" s="672"/>
      <c r="N14" s="672"/>
      <c r="O14" s="672"/>
      <c r="P14" s="165"/>
      <c r="Q14" s="165"/>
    </row>
    <row r="15" ht="15.75" thickBot="1"/>
    <row r="16" spans="1:6" ht="15.75" thickBot="1">
      <c r="A16" s="654" t="s">
        <v>219</v>
      </c>
      <c r="B16" s="655"/>
      <c r="C16" s="655"/>
      <c r="D16" s="655"/>
      <c r="E16" s="655"/>
      <c r="F16" s="656"/>
    </row>
    <row r="17" spans="1:6" ht="15">
      <c r="A17" s="619" t="s">
        <v>220</v>
      </c>
      <c r="B17" s="619"/>
      <c r="C17" s="619"/>
      <c r="D17" s="619"/>
      <c r="E17" s="619"/>
      <c r="F17" s="279" t="s">
        <v>106</v>
      </c>
    </row>
    <row r="18" spans="1:6" ht="15">
      <c r="A18" s="673" t="s">
        <v>221</v>
      </c>
      <c r="B18" s="673"/>
      <c r="C18" s="673"/>
      <c r="D18" s="673"/>
      <c r="E18" s="673"/>
      <c r="F18" s="278" t="s">
        <v>107</v>
      </c>
    </row>
    <row r="19" spans="1:6" ht="15">
      <c r="A19" s="569" t="s">
        <v>222</v>
      </c>
      <c r="B19" s="569"/>
      <c r="C19" s="569"/>
      <c r="D19" s="569"/>
      <c r="E19" s="569"/>
      <c r="F19" s="674" t="s">
        <v>108</v>
      </c>
    </row>
    <row r="20" spans="1:6" ht="15">
      <c r="A20" s="569"/>
      <c r="B20" s="569"/>
      <c r="C20" s="569"/>
      <c r="D20" s="569"/>
      <c r="E20" s="569"/>
      <c r="F20" s="675"/>
    </row>
    <row r="21" spans="1:6" ht="15">
      <c r="A21" s="673" t="s">
        <v>223</v>
      </c>
      <c r="B21" s="673"/>
      <c r="C21" s="673"/>
      <c r="D21" s="673"/>
      <c r="E21" s="673"/>
      <c r="F21" s="278" t="s">
        <v>109</v>
      </c>
    </row>
    <row r="22" spans="1:6" ht="15">
      <c r="A22" s="569" t="s">
        <v>103</v>
      </c>
      <c r="B22" s="569"/>
      <c r="C22" s="569"/>
      <c r="D22" s="569"/>
      <c r="E22" s="569"/>
      <c r="F22" s="674" t="s">
        <v>110</v>
      </c>
    </row>
    <row r="23" spans="1:6" ht="15">
      <c r="A23" s="569"/>
      <c r="B23" s="569"/>
      <c r="C23" s="569"/>
      <c r="D23" s="569"/>
      <c r="E23" s="569"/>
      <c r="F23" s="676"/>
    </row>
    <row r="24" spans="1:6" ht="15">
      <c r="A24" s="569"/>
      <c r="B24" s="569"/>
      <c r="C24" s="569"/>
      <c r="D24" s="569"/>
      <c r="E24" s="569"/>
      <c r="F24" s="676"/>
    </row>
    <row r="25" spans="1:6" ht="15">
      <c r="A25" s="569"/>
      <c r="B25" s="569"/>
      <c r="C25" s="569"/>
      <c r="D25" s="569"/>
      <c r="E25" s="569"/>
      <c r="F25" s="675"/>
    </row>
    <row r="26" spans="1:6" ht="15">
      <c r="A26" s="677" t="s">
        <v>704</v>
      </c>
      <c r="B26" s="677"/>
      <c r="C26" s="677"/>
      <c r="D26" s="677"/>
      <c r="E26" s="677"/>
      <c r="F26" s="678" t="s">
        <v>111</v>
      </c>
    </row>
    <row r="27" spans="1:6" ht="15">
      <c r="A27" s="677"/>
      <c r="B27" s="677"/>
      <c r="C27" s="677"/>
      <c r="D27" s="677"/>
      <c r="E27" s="677"/>
      <c r="F27" s="679"/>
    </row>
    <row r="28" spans="1:6" ht="15">
      <c r="A28" s="686" t="s">
        <v>104</v>
      </c>
      <c r="B28" s="686"/>
      <c r="C28" s="686"/>
      <c r="D28" s="686"/>
      <c r="E28" s="686"/>
      <c r="F28" s="687" t="s">
        <v>112</v>
      </c>
    </row>
    <row r="29" spans="1:6" ht="15">
      <c r="A29" s="686"/>
      <c r="B29" s="686"/>
      <c r="C29" s="686"/>
      <c r="D29" s="686"/>
      <c r="E29" s="686"/>
      <c r="F29" s="688"/>
    </row>
    <row r="30" spans="1:6" ht="15">
      <c r="A30" s="686"/>
      <c r="B30" s="686"/>
      <c r="C30" s="686"/>
      <c r="D30" s="686"/>
      <c r="E30" s="686"/>
      <c r="F30" s="688"/>
    </row>
    <row r="31" spans="1:6" ht="15">
      <c r="A31" s="686"/>
      <c r="B31" s="686"/>
      <c r="C31" s="686"/>
      <c r="D31" s="686"/>
      <c r="E31" s="686"/>
      <c r="F31" s="689"/>
    </row>
    <row r="32" spans="1:6" ht="15">
      <c r="A32" s="677" t="s">
        <v>105</v>
      </c>
      <c r="B32" s="677"/>
      <c r="C32" s="677"/>
      <c r="D32" s="677"/>
      <c r="E32" s="677"/>
      <c r="F32" s="690" t="s">
        <v>113</v>
      </c>
    </row>
    <row r="33" spans="1:6" ht="15">
      <c r="A33" s="677"/>
      <c r="B33" s="677"/>
      <c r="C33" s="677"/>
      <c r="D33" s="677"/>
      <c r="E33" s="677"/>
      <c r="F33" s="690"/>
    </row>
    <row r="34" spans="1:8" ht="15" customHeight="1">
      <c r="A34" s="602" t="s">
        <v>700</v>
      </c>
      <c r="B34" s="602"/>
      <c r="C34" s="602"/>
      <c r="D34" s="602"/>
      <c r="E34" s="602"/>
      <c r="F34" s="258" t="s">
        <v>114</v>
      </c>
      <c r="G34" s="277"/>
      <c r="H34" s="277"/>
    </row>
    <row r="35" spans="1:8" ht="15">
      <c r="A35" s="680" t="s">
        <v>115</v>
      </c>
      <c r="B35" s="681"/>
      <c r="C35" s="681"/>
      <c r="D35" s="681"/>
      <c r="E35" s="681"/>
      <c r="F35" s="682"/>
      <c r="G35" s="277"/>
      <c r="H35" s="277"/>
    </row>
    <row r="36" spans="1:6" ht="15">
      <c r="A36" s="683"/>
      <c r="B36" s="684"/>
      <c r="C36" s="684"/>
      <c r="D36" s="684"/>
      <c r="E36" s="684"/>
      <c r="F36" s="685"/>
    </row>
  </sheetData>
  <mergeCells count="35">
    <mergeCell ref="A35:F36"/>
    <mergeCell ref="A14:O14"/>
    <mergeCell ref="A28:E31"/>
    <mergeCell ref="A26:E27"/>
    <mergeCell ref="F32:F33"/>
    <mergeCell ref="F28:F31"/>
    <mergeCell ref="F26:F27"/>
    <mergeCell ref="A34:E34"/>
    <mergeCell ref="A17:E17"/>
    <mergeCell ref="A16:F16"/>
    <mergeCell ref="A32:E33"/>
    <mergeCell ref="A21:E21"/>
    <mergeCell ref="A19:E20"/>
    <mergeCell ref="A22:E25"/>
    <mergeCell ref="F22:F25"/>
    <mergeCell ref="F19:F20"/>
    <mergeCell ref="C12:D12"/>
    <mergeCell ref="K9:N9"/>
    <mergeCell ref="C10:J10"/>
    <mergeCell ref="A18:E18"/>
    <mergeCell ref="C9:H9"/>
    <mergeCell ref="C7:E7"/>
    <mergeCell ref="C8:E8"/>
    <mergeCell ref="J5:K5"/>
    <mergeCell ref="J6:K6"/>
    <mergeCell ref="G7:I7"/>
    <mergeCell ref="F8:H8"/>
    <mergeCell ref="A1:B2"/>
    <mergeCell ref="C5:E5"/>
    <mergeCell ref="C6:E6"/>
    <mergeCell ref="C3:F3"/>
    <mergeCell ref="F5:H5"/>
    <mergeCell ref="F6:H6"/>
    <mergeCell ref="C4:O4"/>
    <mergeCell ref="H3:L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D1">
      <selection activeCell="A28" sqref="C28:E28"/>
    </sheetView>
  </sheetViews>
  <sheetFormatPr defaultColWidth="8.88671875" defaultRowHeight="15"/>
  <cols>
    <col min="1" max="1" width="9.77734375" style="0" customWidth="1"/>
    <col min="2" max="2" width="13.77734375" style="0" customWidth="1"/>
    <col min="5" max="5" width="9.5546875" style="0" customWidth="1"/>
    <col min="7" max="7" width="10.88671875" style="0" customWidth="1"/>
    <col min="8" max="8" width="6.3359375" style="0" customWidth="1"/>
    <col min="9" max="9" width="5.77734375" style="0" customWidth="1"/>
    <col min="10" max="10" width="9.6640625" style="0" customWidth="1"/>
    <col min="11" max="11" width="0" style="0" hidden="1" customWidth="1"/>
  </cols>
  <sheetData>
    <row r="1" spans="1:10" ht="15">
      <c r="A1" s="582" t="s">
        <v>402</v>
      </c>
      <c r="B1" s="583"/>
      <c r="C1" s="584"/>
      <c r="D1" s="295"/>
      <c r="E1" s="295"/>
      <c r="F1" s="295"/>
      <c r="G1" s="295"/>
      <c r="H1" s="295"/>
      <c r="I1" s="295"/>
      <c r="J1" s="296"/>
    </row>
    <row r="2" spans="1:11" ht="15">
      <c r="A2" s="585"/>
      <c r="B2" s="586"/>
      <c r="C2" s="587"/>
      <c r="D2" s="1"/>
      <c r="E2" s="1"/>
      <c r="F2" s="1"/>
      <c r="G2" s="1"/>
      <c r="H2" s="1"/>
      <c r="I2" s="1"/>
      <c r="J2" s="314"/>
      <c r="K2" t="s">
        <v>364</v>
      </c>
    </row>
    <row r="3" spans="1:11" ht="15.75">
      <c r="A3" s="575" t="s">
        <v>300</v>
      </c>
      <c r="B3" s="576"/>
      <c r="C3" s="613"/>
      <c r="D3" s="246" t="s">
        <v>605</v>
      </c>
      <c r="E3" s="246"/>
      <c r="F3" s="435" t="e">
        <f>(50+(100*K3))/12</f>
        <v>#N/A</v>
      </c>
      <c r="G3" s="246" t="s">
        <v>639</v>
      </c>
      <c r="H3" s="246"/>
      <c r="I3" s="246"/>
      <c r="J3" s="314"/>
      <c r="K3" t="e">
        <f>INDEX('Character Record'!K15:K30,MATCH(25,'Character Record'!AA15:AA32,0))</f>
        <v>#N/A</v>
      </c>
    </row>
    <row r="4" spans="1:10" ht="15.75">
      <c r="A4" s="440" t="s">
        <v>144</v>
      </c>
      <c r="B4" s="246" t="s">
        <v>640</v>
      </c>
      <c r="C4" s="449" t="e">
        <f>1+K3</f>
        <v>#N/A</v>
      </c>
      <c r="D4" s="1" t="s">
        <v>641</v>
      </c>
      <c r="E4" s="412" t="s">
        <v>644</v>
      </c>
      <c r="F4" s="393"/>
      <c r="G4" s="1" t="s">
        <v>367</v>
      </c>
      <c r="H4" s="253" t="e">
        <f>80+K3</f>
        <v>#N/A</v>
      </c>
      <c r="I4" s="1"/>
      <c r="J4" s="314"/>
    </row>
    <row r="5" spans="1:10" ht="15">
      <c r="A5" s="246" t="s">
        <v>642</v>
      </c>
      <c r="B5" s="246"/>
      <c r="C5" s="436" t="e">
        <f>2*K3</f>
        <v>#N/A</v>
      </c>
      <c r="D5" s="1"/>
      <c r="E5" s="1"/>
      <c r="F5" s="1"/>
      <c r="G5" s="1"/>
      <c r="H5" s="1"/>
      <c r="I5" s="1"/>
      <c r="J5" s="314"/>
    </row>
    <row r="6" spans="1:10" ht="15">
      <c r="A6" s="246" t="s">
        <v>643</v>
      </c>
      <c r="B6" s="246"/>
      <c r="C6" s="436" t="e">
        <f>1*K3</f>
        <v>#N/A</v>
      </c>
      <c r="D6" s="1"/>
      <c r="E6" s="1"/>
      <c r="F6" s="1"/>
      <c r="G6" s="1"/>
      <c r="H6" s="1"/>
      <c r="I6" s="1"/>
      <c r="J6" s="314"/>
    </row>
    <row r="7" spans="1:10" ht="15">
      <c r="A7" s="246" t="s">
        <v>645</v>
      </c>
      <c r="B7" s="246"/>
      <c r="C7" s="436" t="e">
        <f>2*K3</f>
        <v>#N/A</v>
      </c>
      <c r="D7" s="1" t="s">
        <v>646</v>
      </c>
      <c r="E7" s="1"/>
      <c r="F7" s="1"/>
      <c r="G7" s="1"/>
      <c r="H7" s="1"/>
      <c r="I7" s="1"/>
      <c r="J7" s="314"/>
    </row>
    <row r="8" spans="1:10" ht="15">
      <c r="A8" s="246" t="s">
        <v>647</v>
      </c>
      <c r="B8" s="246"/>
      <c r="C8" s="436" t="e">
        <f>12*K3</f>
        <v>#N/A</v>
      </c>
      <c r="D8" s="394" t="s">
        <v>649</v>
      </c>
      <c r="E8" s="395"/>
      <c r="F8" s="1"/>
      <c r="G8" s="1"/>
      <c r="H8" s="1"/>
      <c r="I8" s="1"/>
      <c r="J8" s="314"/>
    </row>
    <row r="9" spans="1:10" ht="15">
      <c r="A9" s="246" t="s">
        <v>648</v>
      </c>
      <c r="B9" s="246"/>
      <c r="C9" s="436" t="e">
        <f>10*K3</f>
        <v>#N/A</v>
      </c>
      <c r="D9" s="396" t="s">
        <v>696</v>
      </c>
      <c r="E9" s="397"/>
      <c r="F9" s="398" t="e">
        <f>2+(2*K3)</f>
        <v>#N/A</v>
      </c>
      <c r="G9" s="188" t="s">
        <v>651</v>
      </c>
      <c r="H9" s="188" t="s">
        <v>652</v>
      </c>
      <c r="I9" s="398" t="e">
        <f>15-K3</f>
        <v>#N/A</v>
      </c>
      <c r="J9" s="366" t="s">
        <v>650</v>
      </c>
    </row>
    <row r="10" spans="1:10" ht="15.75">
      <c r="A10" s="428" t="s">
        <v>653</v>
      </c>
      <c r="B10" s="1"/>
      <c r="C10" s="403" t="s">
        <v>667</v>
      </c>
      <c r="D10" s="407"/>
      <c r="E10" s="409"/>
      <c r="F10" s="406" t="s">
        <v>654</v>
      </c>
      <c r="G10" s="401"/>
      <c r="H10" s="194"/>
      <c r="I10" s="194"/>
      <c r="J10" s="429"/>
    </row>
    <row r="11" spans="1:10" ht="15">
      <c r="A11" s="446" t="s">
        <v>660</v>
      </c>
      <c r="B11" s="447"/>
      <c r="C11" s="399" t="s">
        <v>667</v>
      </c>
      <c r="D11" s="405"/>
      <c r="E11" s="410"/>
      <c r="F11" s="1" t="s">
        <v>655</v>
      </c>
      <c r="G11" s="1"/>
      <c r="H11" s="1"/>
      <c r="I11" s="1"/>
      <c r="J11" s="314"/>
    </row>
    <row r="12" spans="1:10" ht="15">
      <c r="A12" s="445" t="s">
        <v>661</v>
      </c>
      <c r="B12" s="393"/>
      <c r="C12" s="399" t="s">
        <v>667</v>
      </c>
      <c r="D12" s="405"/>
      <c r="E12" s="410"/>
      <c r="F12" s="1" t="s">
        <v>656</v>
      </c>
      <c r="G12" s="1"/>
      <c r="H12" s="1"/>
      <c r="I12" s="1"/>
      <c r="J12" s="314"/>
    </row>
    <row r="13" spans="1:10" ht="15">
      <c r="A13" s="430" t="s">
        <v>662</v>
      </c>
      <c r="B13" s="405"/>
      <c r="C13" s="399" t="s">
        <v>669</v>
      </c>
      <c r="D13" s="405"/>
      <c r="E13" s="410"/>
      <c r="F13" s="1" t="s">
        <v>657</v>
      </c>
      <c r="G13" s="400" t="e">
        <f>11-K3</f>
        <v>#N/A</v>
      </c>
      <c r="H13" s="1" t="s">
        <v>658</v>
      </c>
      <c r="I13" s="1"/>
      <c r="J13" s="314"/>
    </row>
    <row r="14" spans="1:10" ht="15">
      <c r="A14" s="445" t="s">
        <v>663</v>
      </c>
      <c r="B14" s="393"/>
      <c r="C14" s="448" t="s">
        <v>670</v>
      </c>
      <c r="D14" s="393"/>
      <c r="E14" s="410"/>
      <c r="F14" s="188" t="s">
        <v>659</v>
      </c>
      <c r="G14" s="188"/>
      <c r="H14" s="188"/>
      <c r="I14" s="188"/>
      <c r="J14" s="366"/>
    </row>
    <row r="15" spans="1:10" ht="15">
      <c r="A15" s="445" t="s">
        <v>664</v>
      </c>
      <c r="B15" s="393"/>
      <c r="C15" s="448" t="s">
        <v>671</v>
      </c>
      <c r="D15" s="393"/>
      <c r="E15" s="410"/>
      <c r="F15" s="1"/>
      <c r="G15" s="1"/>
      <c r="H15" s="1"/>
      <c r="I15" s="1"/>
      <c r="J15" s="314"/>
    </row>
    <row r="16" spans="1:10" ht="15">
      <c r="A16" s="430" t="s">
        <v>665</v>
      </c>
      <c r="B16" s="405"/>
      <c r="C16" s="399" t="s">
        <v>672</v>
      </c>
      <c r="D16" s="405"/>
      <c r="E16" s="410"/>
      <c r="F16" s="1"/>
      <c r="G16" s="1"/>
      <c r="H16" s="1"/>
      <c r="I16" s="1"/>
      <c r="J16" s="314"/>
    </row>
    <row r="17" spans="1:10" ht="15">
      <c r="A17" s="430" t="s">
        <v>666</v>
      </c>
      <c r="B17" s="405"/>
      <c r="C17" s="448" t="s">
        <v>673</v>
      </c>
      <c r="D17" s="393"/>
      <c r="E17" s="410"/>
      <c r="F17" s="1"/>
      <c r="G17" s="1"/>
      <c r="H17" s="1"/>
      <c r="I17" s="1"/>
      <c r="J17" s="314"/>
    </row>
    <row r="18" spans="1:10" ht="15.75" thickBot="1">
      <c r="A18" s="431" t="s">
        <v>668</v>
      </c>
      <c r="B18" s="432"/>
      <c r="C18" s="433" t="s">
        <v>674</v>
      </c>
      <c r="D18" s="432"/>
      <c r="E18" s="434"/>
      <c r="F18" s="116"/>
      <c r="G18" s="116"/>
      <c r="H18" s="116"/>
      <c r="I18" s="116"/>
      <c r="J18" s="117"/>
    </row>
  </sheetData>
  <mergeCells count="2">
    <mergeCell ref="A1:C2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7"/>
  <sheetViews>
    <sheetView zoomScale="75" zoomScaleNormal="75" workbookViewId="0" topLeftCell="A1">
      <pane xSplit="1" topLeftCell="B1" activePane="topRight" state="frozen"/>
      <selection pane="topLeft" activeCell="A28" sqref="C28:E28"/>
      <selection pane="topRight" activeCell="A28" sqref="C28:E28"/>
    </sheetView>
  </sheetViews>
  <sheetFormatPr defaultColWidth="8.88671875" defaultRowHeight="15"/>
  <cols>
    <col min="1" max="1" width="18.6640625" style="0" bestFit="1" customWidth="1"/>
    <col min="2" max="16384" width="8.6640625" style="0" customWidth="1"/>
  </cols>
  <sheetData>
    <row r="1" spans="2:25" ht="15">
      <c r="B1" s="614" t="s">
        <v>364</v>
      </c>
      <c r="C1" s="614"/>
      <c r="D1" s="614"/>
      <c r="E1" s="614"/>
      <c r="F1" s="614"/>
      <c r="G1" s="614"/>
      <c r="H1" s="614"/>
      <c r="I1" s="614"/>
      <c r="J1" s="614"/>
      <c r="K1" s="614"/>
      <c r="L1" s="614"/>
      <c r="O1" s="614" t="s">
        <v>313</v>
      </c>
      <c r="P1" s="614"/>
      <c r="Q1" s="614"/>
      <c r="R1" s="614"/>
      <c r="S1" s="614"/>
      <c r="T1" s="614"/>
      <c r="U1" s="614"/>
      <c r="V1" s="614"/>
      <c r="W1" s="614"/>
      <c r="X1" s="614"/>
      <c r="Y1" s="614"/>
    </row>
    <row r="2" spans="1:25" ht="15.75">
      <c r="A2">
        <f>""</f>
      </c>
      <c r="B2" s="162">
        <v>0</v>
      </c>
      <c r="C2" s="162">
        <v>1</v>
      </c>
      <c r="D2" s="162">
        <v>2</v>
      </c>
      <c r="E2" s="162">
        <v>3</v>
      </c>
      <c r="F2" s="162">
        <v>4</v>
      </c>
      <c r="G2" s="162">
        <v>5</v>
      </c>
      <c r="H2" s="162">
        <v>6</v>
      </c>
      <c r="I2" s="162">
        <v>7</v>
      </c>
      <c r="J2" s="162">
        <v>8</v>
      </c>
      <c r="K2" s="162">
        <v>9</v>
      </c>
      <c r="L2" s="162">
        <v>10</v>
      </c>
      <c r="O2" s="162">
        <v>0</v>
      </c>
      <c r="P2" s="162">
        <v>1</v>
      </c>
      <c r="Q2" s="162">
        <v>2</v>
      </c>
      <c r="R2" s="162">
        <v>3</v>
      </c>
      <c r="S2" s="162">
        <v>4</v>
      </c>
      <c r="T2" s="162">
        <v>5</v>
      </c>
      <c r="U2" s="162">
        <v>6</v>
      </c>
      <c r="V2" s="162">
        <v>7</v>
      </c>
      <c r="W2" s="162">
        <v>8</v>
      </c>
      <c r="X2" s="162">
        <v>9</v>
      </c>
      <c r="Y2" s="162">
        <v>10</v>
      </c>
    </row>
    <row r="3" spans="1:25" s="159" customFormat="1" ht="15">
      <c r="A3" s="159" t="s">
        <v>381</v>
      </c>
      <c r="B3" s="159">
        <v>200</v>
      </c>
      <c r="C3" s="159">
        <v>75</v>
      </c>
      <c r="D3" s="159">
        <v>125</v>
      </c>
      <c r="E3" s="159">
        <v>300</v>
      </c>
      <c r="F3" s="159">
        <v>550</v>
      </c>
      <c r="G3" s="159">
        <v>850</v>
      </c>
      <c r="H3" s="159">
        <v>1350</v>
      </c>
      <c r="I3" s="159">
        <v>1700</v>
      </c>
      <c r="J3" s="159">
        <v>2250</v>
      </c>
      <c r="K3" s="159">
        <v>2900</v>
      </c>
      <c r="L3" s="159">
        <v>3500</v>
      </c>
      <c r="O3" s="159">
        <f>SUM($B3)</f>
        <v>200</v>
      </c>
      <c r="P3" s="159">
        <f>SUM($B3:C3)</f>
        <v>275</v>
      </c>
      <c r="Q3" s="159">
        <f>SUM($B3:D3)</f>
        <v>400</v>
      </c>
      <c r="R3" s="159">
        <f>SUM($B3:E3)</f>
        <v>700</v>
      </c>
      <c r="S3" s="159">
        <f>SUM($B3:F3)</f>
        <v>1250</v>
      </c>
      <c r="T3" s="159">
        <f>SUM($B3:G3)</f>
        <v>2100</v>
      </c>
      <c r="U3" s="159">
        <f>SUM($B3:H3)</f>
        <v>3450</v>
      </c>
      <c r="V3" s="159">
        <f>SUM($B3:I3)</f>
        <v>5150</v>
      </c>
      <c r="W3" s="159">
        <f>SUM($B3:J3)</f>
        <v>7400</v>
      </c>
      <c r="X3" s="159">
        <f>SUM($B3:K3)</f>
        <v>10300</v>
      </c>
      <c r="Y3" s="159">
        <f>SUM($B3:L3)</f>
        <v>13800</v>
      </c>
    </row>
    <row r="4" spans="1:25" s="159" customFormat="1" ht="15">
      <c r="A4" s="159" t="s">
        <v>382</v>
      </c>
      <c r="B4" s="159">
        <v>250</v>
      </c>
      <c r="C4" s="159">
        <v>100</v>
      </c>
      <c r="D4" s="159">
        <v>150</v>
      </c>
      <c r="E4" s="159">
        <v>350</v>
      </c>
      <c r="F4" s="159">
        <v>700</v>
      </c>
      <c r="G4" s="159">
        <v>950</v>
      </c>
      <c r="H4" s="159">
        <v>1500</v>
      </c>
      <c r="I4" s="159">
        <v>1850</v>
      </c>
      <c r="J4" s="159">
        <v>2500</v>
      </c>
      <c r="K4" s="159">
        <v>3200</v>
      </c>
      <c r="L4" s="159">
        <v>4000</v>
      </c>
      <c r="O4" s="159">
        <f aca="true" t="shared" si="0" ref="O4:O29">SUM($B4)</f>
        <v>250</v>
      </c>
      <c r="P4" s="159">
        <f>SUM($B4:C4)</f>
        <v>350</v>
      </c>
      <c r="Q4" s="159">
        <f>SUM($B4:D4)</f>
        <v>500</v>
      </c>
      <c r="R4" s="159">
        <f>SUM($B4:E4)</f>
        <v>850</v>
      </c>
      <c r="S4" s="159">
        <f>SUM($B4:F4)</f>
        <v>1550</v>
      </c>
      <c r="T4" s="159">
        <f>SUM($B4:G4)</f>
        <v>2500</v>
      </c>
      <c r="U4" s="159">
        <f>SUM($B4:H4)</f>
        <v>4000</v>
      </c>
      <c r="V4" s="159">
        <f>SUM($B4:I4)</f>
        <v>5850</v>
      </c>
      <c r="W4" s="159">
        <f>SUM($B4:J4)</f>
        <v>8350</v>
      </c>
      <c r="X4" s="159">
        <f>SUM($B4:K4)</f>
        <v>11550</v>
      </c>
      <c r="Y4" s="159">
        <f>SUM($B4:L4)</f>
        <v>15550</v>
      </c>
    </row>
    <row r="5" spans="1:25" s="159" customFormat="1" ht="15">
      <c r="A5" s="159" t="s">
        <v>414</v>
      </c>
      <c r="B5" s="159">
        <v>500</v>
      </c>
      <c r="C5" s="159">
        <v>200</v>
      </c>
      <c r="D5" s="159">
        <v>350</v>
      </c>
      <c r="E5" s="159">
        <v>875</v>
      </c>
      <c r="F5" s="159">
        <v>1850</v>
      </c>
      <c r="G5" s="159">
        <v>2550</v>
      </c>
      <c r="H5" s="159">
        <v>3690</v>
      </c>
      <c r="I5" s="159">
        <v>5000</v>
      </c>
      <c r="J5" s="159">
        <v>6900</v>
      </c>
      <c r="K5" s="159">
        <v>9000</v>
      </c>
      <c r="L5" s="159">
        <v>12250</v>
      </c>
      <c r="O5" s="159">
        <f t="shared" si="0"/>
        <v>500</v>
      </c>
      <c r="P5" s="159">
        <f>SUM($B5:C5)</f>
        <v>700</v>
      </c>
      <c r="Q5" s="159">
        <f>SUM($B5:D5)</f>
        <v>1050</v>
      </c>
      <c r="R5" s="159">
        <f>SUM($B5:E5)</f>
        <v>1925</v>
      </c>
      <c r="S5" s="159">
        <f>SUM($B5:F5)</f>
        <v>3775</v>
      </c>
      <c r="T5" s="159">
        <f>SUM($B5:G5)</f>
        <v>6325</v>
      </c>
      <c r="U5" s="159">
        <f>SUM($B5:H5)</f>
        <v>10015</v>
      </c>
      <c r="V5" s="159">
        <f>SUM($B5:I5)</f>
        <v>15015</v>
      </c>
      <c r="W5" s="159">
        <f>SUM($B5:J5)</f>
        <v>21915</v>
      </c>
      <c r="X5" s="159">
        <f>SUM($B5:K5)</f>
        <v>30915</v>
      </c>
      <c r="Y5" s="159">
        <f>SUM($B5:L5)</f>
        <v>43165</v>
      </c>
    </row>
    <row r="6" spans="1:25" s="83" customFormat="1" ht="15">
      <c r="A6" s="83" t="s">
        <v>383</v>
      </c>
      <c r="B6" s="83">
        <v>800</v>
      </c>
      <c r="C6" s="83">
        <v>350</v>
      </c>
      <c r="D6" s="83">
        <v>1200</v>
      </c>
      <c r="E6" s="83">
        <v>2650</v>
      </c>
      <c r="F6" s="83">
        <v>4350</v>
      </c>
      <c r="G6" s="83">
        <v>6500</v>
      </c>
      <c r="H6" s="83">
        <v>8650</v>
      </c>
      <c r="I6" s="83">
        <v>11100</v>
      </c>
      <c r="J6" s="83">
        <v>12750</v>
      </c>
      <c r="K6" s="83">
        <v>14500</v>
      </c>
      <c r="L6" s="83">
        <v>17000</v>
      </c>
      <c r="O6" s="83">
        <f t="shared" si="0"/>
        <v>800</v>
      </c>
      <c r="P6" s="83">
        <f>SUM($B6:C6)</f>
        <v>1150</v>
      </c>
      <c r="Q6" s="83">
        <f>SUM($B6:D6)</f>
        <v>2350</v>
      </c>
      <c r="R6" s="83">
        <f>SUM($B6:E6)</f>
        <v>5000</v>
      </c>
      <c r="S6" s="83">
        <f>SUM($B6:F6)</f>
        <v>9350</v>
      </c>
      <c r="T6" s="83">
        <f>SUM($B6:G6)</f>
        <v>15850</v>
      </c>
      <c r="U6" s="83">
        <f>SUM($B6:H6)</f>
        <v>24500</v>
      </c>
      <c r="V6" s="83">
        <f>SUM($B6:I6)</f>
        <v>35600</v>
      </c>
      <c r="W6" s="83">
        <f>SUM($B6:J6)</f>
        <v>48350</v>
      </c>
      <c r="X6" s="83">
        <f>SUM($B6:K6)</f>
        <v>62850</v>
      </c>
      <c r="Y6" s="83">
        <f>SUM($B6:L6)</f>
        <v>79850</v>
      </c>
    </row>
    <row r="7" spans="1:25" ht="15">
      <c r="A7" t="s">
        <v>384</v>
      </c>
      <c r="B7">
        <v>600</v>
      </c>
      <c r="C7">
        <v>250</v>
      </c>
      <c r="D7">
        <v>750</v>
      </c>
      <c r="E7">
        <v>1700</v>
      </c>
      <c r="F7">
        <v>2900</v>
      </c>
      <c r="G7">
        <v>4200</v>
      </c>
      <c r="H7">
        <v>5750</v>
      </c>
      <c r="I7">
        <v>7550</v>
      </c>
      <c r="J7">
        <v>9500</v>
      </c>
      <c r="K7">
        <v>11700</v>
      </c>
      <c r="L7">
        <v>14100</v>
      </c>
      <c r="O7" s="83">
        <f t="shared" si="0"/>
        <v>600</v>
      </c>
      <c r="P7" s="83">
        <f>SUM($B7:C7)</f>
        <v>850</v>
      </c>
      <c r="Q7" s="83">
        <f>SUM($B7:D7)</f>
        <v>1600</v>
      </c>
      <c r="R7" s="83">
        <f>SUM($B7:E7)</f>
        <v>3300</v>
      </c>
      <c r="S7" s="83">
        <f>SUM($B7:F7)</f>
        <v>6200</v>
      </c>
      <c r="T7" s="83">
        <f>SUM($B7:G7)</f>
        <v>10400</v>
      </c>
      <c r="U7" s="83">
        <f>SUM($B7:H7)</f>
        <v>16150</v>
      </c>
      <c r="V7" s="83">
        <f>SUM($B7:I7)</f>
        <v>23700</v>
      </c>
      <c r="W7" s="83">
        <f>SUM($B7:J7)</f>
        <v>33200</v>
      </c>
      <c r="X7" s="83">
        <f>SUM($B7:K7)</f>
        <v>44900</v>
      </c>
      <c r="Y7" s="83">
        <f>SUM($B7:L7)</f>
        <v>59000</v>
      </c>
    </row>
    <row r="8" spans="1:25" ht="15">
      <c r="A8" t="s">
        <v>133</v>
      </c>
      <c r="B8">
        <v>400</v>
      </c>
      <c r="C8">
        <v>150</v>
      </c>
      <c r="D8">
        <v>500</v>
      </c>
      <c r="E8">
        <v>1150</v>
      </c>
      <c r="F8">
        <v>2050</v>
      </c>
      <c r="G8">
        <v>3100</v>
      </c>
      <c r="H8">
        <v>4400</v>
      </c>
      <c r="I8">
        <v>5900</v>
      </c>
      <c r="J8">
        <v>7500</v>
      </c>
      <c r="K8">
        <v>9400</v>
      </c>
      <c r="L8">
        <v>11500</v>
      </c>
      <c r="O8" s="83">
        <f t="shared" si="0"/>
        <v>400</v>
      </c>
      <c r="P8" s="83">
        <f>SUM($B8:C8)</f>
        <v>550</v>
      </c>
      <c r="Q8" s="83">
        <f>SUM($B8:D8)</f>
        <v>1050</v>
      </c>
      <c r="R8" s="83">
        <f>SUM($B8:E8)</f>
        <v>2200</v>
      </c>
      <c r="S8" s="83">
        <f>SUM($B8:F8)</f>
        <v>4250</v>
      </c>
      <c r="T8" s="83">
        <f>SUM($B8:G8)</f>
        <v>7350</v>
      </c>
      <c r="U8" s="83">
        <f>SUM($B8:H8)</f>
        <v>11750</v>
      </c>
      <c r="V8" s="83">
        <f>SUM($B8:I8)</f>
        <v>17650</v>
      </c>
      <c r="W8" s="83">
        <f>SUM($B8:J8)</f>
        <v>25150</v>
      </c>
      <c r="X8" s="83">
        <f>SUM($B8:K8)</f>
        <v>34550</v>
      </c>
      <c r="Y8" s="83">
        <f>SUM($B8:L8)</f>
        <v>46050</v>
      </c>
    </row>
    <row r="9" spans="1:25" s="159" customFormat="1" ht="15">
      <c r="A9" s="159" t="s">
        <v>134</v>
      </c>
      <c r="B9" s="159">
        <v>600</v>
      </c>
      <c r="C9" s="159">
        <v>250</v>
      </c>
      <c r="D9" s="159">
        <v>750</v>
      </c>
      <c r="E9" s="159">
        <v>1650</v>
      </c>
      <c r="F9" s="159">
        <v>2800</v>
      </c>
      <c r="G9" s="159">
        <v>4300</v>
      </c>
      <c r="H9" s="159">
        <v>5600</v>
      </c>
      <c r="I9" s="159">
        <v>7350</v>
      </c>
      <c r="J9" s="159">
        <v>9300</v>
      </c>
      <c r="K9" s="159">
        <v>11400</v>
      </c>
      <c r="L9" s="159">
        <v>13750</v>
      </c>
      <c r="O9" s="159">
        <f t="shared" si="0"/>
        <v>600</v>
      </c>
      <c r="P9" s="159">
        <f>SUM($B9:C9)</f>
        <v>850</v>
      </c>
      <c r="Q9" s="159">
        <f>SUM($B9:D9)</f>
        <v>1600</v>
      </c>
      <c r="R9" s="159">
        <f>SUM($B9:E9)</f>
        <v>3250</v>
      </c>
      <c r="S9" s="159">
        <f>SUM($B9:F9)</f>
        <v>6050</v>
      </c>
      <c r="T9" s="159">
        <f>SUM($B9:G9)</f>
        <v>10350</v>
      </c>
      <c r="U9" s="159">
        <f>SUM($B9:H9)</f>
        <v>15950</v>
      </c>
      <c r="V9" s="159">
        <f>SUM($B9:I9)</f>
        <v>23300</v>
      </c>
      <c r="W9" s="159">
        <f>SUM($B9:J9)</f>
        <v>32600</v>
      </c>
      <c r="X9" s="159">
        <f>SUM($B9:K9)</f>
        <v>44000</v>
      </c>
      <c r="Y9" s="159">
        <f>SUM($B9:L9)</f>
        <v>57750</v>
      </c>
    </row>
    <row r="10" spans="1:25" s="159" customFormat="1" ht="15">
      <c r="A10" s="159" t="s">
        <v>135</v>
      </c>
      <c r="B10" s="159">
        <v>250</v>
      </c>
      <c r="C10" s="159">
        <v>100</v>
      </c>
      <c r="D10" s="159">
        <v>200</v>
      </c>
      <c r="E10" s="159">
        <v>500</v>
      </c>
      <c r="F10" s="159">
        <v>950</v>
      </c>
      <c r="G10" s="159">
        <v>1450</v>
      </c>
      <c r="H10" s="159">
        <v>2050</v>
      </c>
      <c r="I10" s="159">
        <v>2800</v>
      </c>
      <c r="J10" s="159">
        <v>3600</v>
      </c>
      <c r="K10" s="159">
        <v>6300</v>
      </c>
      <c r="L10" s="159">
        <v>8000</v>
      </c>
      <c r="O10" s="159">
        <f t="shared" si="0"/>
        <v>250</v>
      </c>
      <c r="P10" s="159">
        <f>SUM($B10:C10)</f>
        <v>350</v>
      </c>
      <c r="Q10" s="159">
        <f>SUM($B10:D10)</f>
        <v>550</v>
      </c>
      <c r="R10" s="159">
        <f>SUM($B10:E10)</f>
        <v>1050</v>
      </c>
      <c r="S10" s="159">
        <f>SUM($B10:F10)</f>
        <v>2000</v>
      </c>
      <c r="T10" s="159">
        <f>SUM($B10:G10)</f>
        <v>3450</v>
      </c>
      <c r="U10" s="159">
        <f>SUM($B10:H10)</f>
        <v>5500</v>
      </c>
      <c r="V10" s="159">
        <f>SUM($B10:I10)</f>
        <v>8300</v>
      </c>
      <c r="W10" s="159">
        <f>SUM($B10:J10)</f>
        <v>11900</v>
      </c>
      <c r="X10" s="159">
        <f>SUM($B10:K10)</f>
        <v>18200</v>
      </c>
      <c r="Y10" s="159">
        <f>SUM($B10:L10)</f>
        <v>26200</v>
      </c>
    </row>
    <row r="11" spans="1:25" s="159" customFormat="1" ht="15">
      <c r="A11" s="159" t="s">
        <v>193</v>
      </c>
      <c r="B11" s="159">
        <v>600</v>
      </c>
      <c r="C11" s="159">
        <v>350</v>
      </c>
      <c r="D11" s="159">
        <v>900</v>
      </c>
      <c r="E11" s="159">
        <v>1150</v>
      </c>
      <c r="F11" s="159">
        <v>2200</v>
      </c>
      <c r="G11" s="159">
        <v>5500</v>
      </c>
      <c r="H11" s="159">
        <v>7000</v>
      </c>
      <c r="I11" s="159">
        <v>9500</v>
      </c>
      <c r="J11" s="159">
        <v>11000</v>
      </c>
      <c r="K11" s="159">
        <v>13500</v>
      </c>
      <c r="L11" s="159">
        <v>16000</v>
      </c>
      <c r="O11" s="159">
        <f t="shared" si="0"/>
        <v>600</v>
      </c>
      <c r="P11" s="159">
        <f>SUM($B11:C11)</f>
        <v>950</v>
      </c>
      <c r="Q11" s="159">
        <f>SUM($B11:D11)</f>
        <v>1850</v>
      </c>
      <c r="R11" s="159">
        <f>SUM($B11:E11)</f>
        <v>3000</v>
      </c>
      <c r="S11" s="159">
        <f>SUM($B11:F11)</f>
        <v>5200</v>
      </c>
      <c r="T11" s="159">
        <f>SUM($B11:G11)</f>
        <v>10700</v>
      </c>
      <c r="U11" s="159">
        <f>SUM($B11:H11)</f>
        <v>17700</v>
      </c>
      <c r="V11" s="159">
        <f>SUM($B11:I11)</f>
        <v>27200</v>
      </c>
      <c r="W11" s="159">
        <f>SUM($B11:J11)</f>
        <v>38200</v>
      </c>
      <c r="X11" s="159">
        <f>SUM($B11:K11)</f>
        <v>51700</v>
      </c>
      <c r="Y11" s="159">
        <f>SUM($B11:L11)</f>
        <v>67700</v>
      </c>
    </row>
    <row r="12" spans="1:25" s="83" customFormat="1" ht="15">
      <c r="A12" s="83" t="s">
        <v>136</v>
      </c>
      <c r="B12" s="83">
        <v>1000</v>
      </c>
      <c r="C12" s="83">
        <v>400</v>
      </c>
      <c r="D12" s="83">
        <v>1600</v>
      </c>
      <c r="E12" s="83">
        <v>3500</v>
      </c>
      <c r="F12" s="83">
        <v>5800</v>
      </c>
      <c r="G12" s="83">
        <v>8400</v>
      </c>
      <c r="H12" s="83">
        <v>11400</v>
      </c>
      <c r="I12" s="83">
        <v>14700</v>
      </c>
      <c r="J12" s="83">
        <v>18500</v>
      </c>
      <c r="K12" s="83">
        <v>22500</v>
      </c>
      <c r="L12" s="83">
        <v>26750</v>
      </c>
      <c r="O12" s="83">
        <f t="shared" si="0"/>
        <v>1000</v>
      </c>
      <c r="P12" s="83">
        <f>SUM($B12:C12)</f>
        <v>1400</v>
      </c>
      <c r="Q12" s="83">
        <f>SUM($B12:D12)</f>
        <v>3000</v>
      </c>
      <c r="R12" s="83">
        <f>SUM($B12:E12)</f>
        <v>6500</v>
      </c>
      <c r="S12" s="83">
        <f>SUM($B12:F12)</f>
        <v>12300</v>
      </c>
      <c r="T12" s="83">
        <f>SUM($B12:G12)</f>
        <v>20700</v>
      </c>
      <c r="U12" s="83">
        <f>SUM($B12:H12)</f>
        <v>32100</v>
      </c>
      <c r="V12" s="83">
        <f>SUM($B12:I12)</f>
        <v>46800</v>
      </c>
      <c r="W12" s="83">
        <f>SUM($B12:J12)</f>
        <v>65300</v>
      </c>
      <c r="X12" s="83">
        <f>SUM($B12:K12)</f>
        <v>87800</v>
      </c>
      <c r="Y12" s="83">
        <f>SUM($B12:L12)</f>
        <v>114550</v>
      </c>
    </row>
    <row r="13" spans="1:25" s="83" customFormat="1" ht="15">
      <c r="A13" s="83" t="s">
        <v>194</v>
      </c>
      <c r="B13" s="83">
        <v>900</v>
      </c>
      <c r="C13" s="83">
        <v>400</v>
      </c>
      <c r="D13" s="83">
        <v>1200</v>
      </c>
      <c r="E13" s="83">
        <v>3000</v>
      </c>
      <c r="F13" s="83">
        <v>4900</v>
      </c>
      <c r="G13" s="83">
        <v>6800</v>
      </c>
      <c r="H13" s="83">
        <v>10500</v>
      </c>
      <c r="I13" s="83">
        <v>12900</v>
      </c>
      <c r="J13" s="83">
        <v>15000</v>
      </c>
      <c r="K13" s="83">
        <v>19400</v>
      </c>
      <c r="L13" s="83">
        <v>24500</v>
      </c>
      <c r="O13" s="83">
        <f t="shared" si="0"/>
        <v>900</v>
      </c>
      <c r="P13" s="83">
        <f>SUM($B13:C13)</f>
        <v>1300</v>
      </c>
      <c r="Q13" s="83">
        <f>SUM($B13:D13)</f>
        <v>2500</v>
      </c>
      <c r="R13" s="83">
        <f>SUM($B13:E13)</f>
        <v>5500</v>
      </c>
      <c r="S13" s="83">
        <f>SUM($B13:F13)</f>
        <v>10400</v>
      </c>
      <c r="T13" s="83">
        <f>SUM($B13:G13)</f>
        <v>17200</v>
      </c>
      <c r="U13" s="83">
        <f>SUM($B13:H13)</f>
        <v>27700</v>
      </c>
      <c r="V13" s="83">
        <f>SUM($B13:I13)</f>
        <v>40600</v>
      </c>
      <c r="W13" s="83">
        <f>SUM($B13:J13)</f>
        <v>55600</v>
      </c>
      <c r="X13" s="83">
        <f>SUM($B13:K13)</f>
        <v>75000</v>
      </c>
      <c r="Y13" s="83">
        <f>SUM($B13:L13)</f>
        <v>99500</v>
      </c>
    </row>
    <row r="14" spans="1:25" s="83" customFormat="1" ht="15">
      <c r="A14" s="83" t="s">
        <v>195</v>
      </c>
      <c r="B14" s="83">
        <v>700</v>
      </c>
      <c r="C14" s="83">
        <v>350</v>
      </c>
      <c r="D14" s="83">
        <v>1200</v>
      </c>
      <c r="E14" s="83">
        <v>2750</v>
      </c>
      <c r="F14" s="83">
        <v>4700</v>
      </c>
      <c r="G14" s="83">
        <v>7200</v>
      </c>
      <c r="H14" s="83">
        <v>9400</v>
      </c>
      <c r="I14" s="83">
        <v>10800</v>
      </c>
      <c r="J14" s="83">
        <v>15600</v>
      </c>
      <c r="K14" s="83">
        <v>19500</v>
      </c>
      <c r="L14" s="83">
        <v>24500</v>
      </c>
      <c r="O14" s="83">
        <f t="shared" si="0"/>
        <v>700</v>
      </c>
      <c r="P14" s="83">
        <f>SUM($B14:C14)</f>
        <v>1050</v>
      </c>
      <c r="Q14" s="83">
        <f>SUM($B14:D14)</f>
        <v>2250</v>
      </c>
      <c r="R14" s="83">
        <f>SUM($B14:E14)</f>
        <v>5000</v>
      </c>
      <c r="S14" s="83">
        <f>SUM($B14:F14)</f>
        <v>9700</v>
      </c>
      <c r="T14" s="83">
        <f>SUM($B14:G14)</f>
        <v>16900</v>
      </c>
      <c r="U14" s="83">
        <f>SUM($B14:H14)</f>
        <v>26300</v>
      </c>
      <c r="V14" s="83">
        <f>SUM($B14:I14)</f>
        <v>37100</v>
      </c>
      <c r="W14" s="83">
        <f>SUM($B14:J14)</f>
        <v>52700</v>
      </c>
      <c r="X14" s="83">
        <f>SUM($B14:K14)</f>
        <v>72200</v>
      </c>
      <c r="Y14" s="83">
        <f>SUM($B14:L14)</f>
        <v>96700</v>
      </c>
    </row>
    <row r="15" spans="1:25" s="159" customFormat="1" ht="15">
      <c r="A15" s="159" t="s">
        <v>196</v>
      </c>
      <c r="B15" s="159">
        <v>1000</v>
      </c>
      <c r="C15" s="159">
        <v>400</v>
      </c>
      <c r="D15" s="159">
        <v>1600</v>
      </c>
      <c r="E15" s="159">
        <v>4200</v>
      </c>
      <c r="F15" s="159">
        <v>7500</v>
      </c>
      <c r="G15" s="159">
        <v>10200</v>
      </c>
      <c r="H15" s="159">
        <v>14700</v>
      </c>
      <c r="I15" s="159">
        <v>19200</v>
      </c>
      <c r="J15" s="159">
        <v>25600</v>
      </c>
      <c r="K15" s="159">
        <v>34500</v>
      </c>
      <c r="L15" s="159">
        <v>41500</v>
      </c>
      <c r="O15" s="159">
        <f t="shared" si="0"/>
        <v>1000</v>
      </c>
      <c r="P15" s="159">
        <f>SUM($B15:C15)</f>
        <v>1400</v>
      </c>
      <c r="Q15" s="159">
        <f>SUM($B15:D15)</f>
        <v>3000</v>
      </c>
      <c r="R15" s="159">
        <f>SUM($B15:E15)</f>
        <v>7200</v>
      </c>
      <c r="S15" s="159">
        <f>SUM($B15:F15)</f>
        <v>14700</v>
      </c>
      <c r="T15" s="159">
        <f>SUM($B15:G15)</f>
        <v>24900</v>
      </c>
      <c r="U15" s="159">
        <f>SUM($B15:H15)</f>
        <v>39600</v>
      </c>
      <c r="V15" s="159">
        <f>SUM($B15:I15)</f>
        <v>58800</v>
      </c>
      <c r="W15" s="159">
        <f>SUM($B15:J15)</f>
        <v>84400</v>
      </c>
      <c r="X15" s="159">
        <f>SUM($B15:K15)</f>
        <v>118900</v>
      </c>
      <c r="Y15" s="159">
        <f>SUM($B15:L15)</f>
        <v>160400</v>
      </c>
    </row>
    <row r="16" spans="1:25" s="159" customFormat="1" ht="15">
      <c r="A16" s="159" t="s">
        <v>137</v>
      </c>
      <c r="B16" s="159">
        <v>600</v>
      </c>
      <c r="C16" s="159">
        <v>250</v>
      </c>
      <c r="D16" s="159">
        <v>650</v>
      </c>
      <c r="E16" s="159">
        <v>1500</v>
      </c>
      <c r="F16" s="159">
        <v>2600</v>
      </c>
      <c r="G16" s="159">
        <v>3900</v>
      </c>
      <c r="H16" s="159">
        <v>5300</v>
      </c>
      <c r="I16" s="159">
        <v>7000</v>
      </c>
      <c r="J16" s="159">
        <v>8850</v>
      </c>
      <c r="K16" s="159">
        <v>10900</v>
      </c>
      <c r="L16" s="159">
        <v>13000</v>
      </c>
      <c r="O16" s="159">
        <f t="shared" si="0"/>
        <v>600</v>
      </c>
      <c r="P16" s="159">
        <f>SUM($B16:C16)</f>
        <v>850</v>
      </c>
      <c r="Q16" s="159">
        <f>SUM($B16:D16)</f>
        <v>1500</v>
      </c>
      <c r="R16" s="159">
        <f>SUM($B16:E16)</f>
        <v>3000</v>
      </c>
      <c r="S16" s="159">
        <f>SUM($B16:F16)</f>
        <v>5600</v>
      </c>
      <c r="T16" s="159">
        <f>SUM($B16:G16)</f>
        <v>9500</v>
      </c>
      <c r="U16" s="159">
        <f>SUM($B16:H16)</f>
        <v>14800</v>
      </c>
      <c r="V16" s="159">
        <f>SUM($B16:I16)</f>
        <v>21800</v>
      </c>
      <c r="W16" s="159">
        <f>SUM($B16:J16)</f>
        <v>30650</v>
      </c>
      <c r="X16" s="159">
        <f>SUM($B16:K16)</f>
        <v>41550</v>
      </c>
      <c r="Y16" s="159">
        <f>SUM($B16:L16)</f>
        <v>54550</v>
      </c>
    </row>
    <row r="17" spans="1:25" s="159" customFormat="1" ht="15">
      <c r="A17" s="159" t="s">
        <v>138</v>
      </c>
      <c r="B17" s="159">
        <v>300</v>
      </c>
      <c r="C17" s="159">
        <v>125</v>
      </c>
      <c r="D17" s="159">
        <v>300</v>
      </c>
      <c r="E17" s="159">
        <v>850</v>
      </c>
      <c r="F17" s="159">
        <v>1400</v>
      </c>
      <c r="G17" s="159">
        <v>2200</v>
      </c>
      <c r="H17" s="159">
        <v>3400</v>
      </c>
      <c r="I17" s="159">
        <v>4200</v>
      </c>
      <c r="J17" s="159">
        <v>5300</v>
      </c>
      <c r="K17" s="159">
        <v>6800</v>
      </c>
      <c r="L17" s="159">
        <v>9500</v>
      </c>
      <c r="O17" s="159">
        <f t="shared" si="0"/>
        <v>300</v>
      </c>
      <c r="P17" s="159">
        <f>SUM($B17:C17)</f>
        <v>425</v>
      </c>
      <c r="Q17" s="159">
        <f>SUM($B17:D17)</f>
        <v>725</v>
      </c>
      <c r="R17" s="159">
        <f>SUM($B17:E17)</f>
        <v>1575</v>
      </c>
      <c r="S17" s="159">
        <f>SUM($B17:F17)</f>
        <v>2975</v>
      </c>
      <c r="T17" s="159">
        <f>SUM($B17:G17)</f>
        <v>5175</v>
      </c>
      <c r="U17" s="159">
        <f>SUM($B17:H17)</f>
        <v>8575</v>
      </c>
      <c r="V17" s="159">
        <f>SUM($B17:I17)</f>
        <v>12775</v>
      </c>
      <c r="W17" s="159">
        <f>SUM($B17:J17)</f>
        <v>18075</v>
      </c>
      <c r="X17" s="159">
        <f>SUM($B17:K17)</f>
        <v>24875</v>
      </c>
      <c r="Y17" s="159">
        <f>SUM($B17:L17)</f>
        <v>34375</v>
      </c>
    </row>
    <row r="18" spans="1:25" ht="15">
      <c r="A18" t="s">
        <v>139</v>
      </c>
      <c r="B18">
        <v>300</v>
      </c>
      <c r="C18">
        <v>125</v>
      </c>
      <c r="D18">
        <v>350</v>
      </c>
      <c r="E18">
        <v>950</v>
      </c>
      <c r="F18">
        <v>1500</v>
      </c>
      <c r="G18">
        <v>2350</v>
      </c>
      <c r="H18">
        <v>3100</v>
      </c>
      <c r="I18">
        <v>4150</v>
      </c>
      <c r="J18">
        <v>5400</v>
      </c>
      <c r="K18">
        <v>6750</v>
      </c>
      <c r="L18">
        <v>10000</v>
      </c>
      <c r="O18" s="83">
        <f t="shared" si="0"/>
        <v>300</v>
      </c>
      <c r="P18" s="83">
        <f>SUM($B18:C18)</f>
        <v>425</v>
      </c>
      <c r="Q18" s="83">
        <f>SUM($B18:D18)</f>
        <v>775</v>
      </c>
      <c r="R18" s="83">
        <f>SUM($B18:E18)</f>
        <v>1725</v>
      </c>
      <c r="S18" s="83">
        <f>SUM($B18:F18)</f>
        <v>3225</v>
      </c>
      <c r="T18" s="83">
        <f>SUM($B18:G18)</f>
        <v>5575</v>
      </c>
      <c r="U18" s="83">
        <f>SUM($B18:H18)</f>
        <v>8675</v>
      </c>
      <c r="V18" s="83">
        <f>SUM($B18:I18)</f>
        <v>12825</v>
      </c>
      <c r="W18" s="83">
        <f>SUM($B18:J18)</f>
        <v>18225</v>
      </c>
      <c r="X18" s="83">
        <f>SUM($B18:K18)</f>
        <v>24975</v>
      </c>
      <c r="Y18" s="83">
        <f>SUM($B18:L18)</f>
        <v>34975</v>
      </c>
    </row>
    <row r="19" spans="1:25" ht="15">
      <c r="A19" t="s">
        <v>140</v>
      </c>
      <c r="B19">
        <v>400</v>
      </c>
      <c r="C19">
        <v>150</v>
      </c>
      <c r="D19">
        <v>400</v>
      </c>
      <c r="E19">
        <v>900</v>
      </c>
      <c r="F19">
        <v>1550</v>
      </c>
      <c r="G19">
        <v>2400</v>
      </c>
      <c r="H19">
        <v>3350</v>
      </c>
      <c r="I19">
        <v>4450</v>
      </c>
      <c r="J19">
        <v>5750</v>
      </c>
      <c r="K19">
        <v>7100</v>
      </c>
      <c r="L19">
        <v>10500</v>
      </c>
      <c r="O19" s="83">
        <f t="shared" si="0"/>
        <v>400</v>
      </c>
      <c r="P19" s="83">
        <f>SUM($B19:C19)</f>
        <v>550</v>
      </c>
      <c r="Q19" s="83">
        <f>SUM($B19:D19)</f>
        <v>950</v>
      </c>
      <c r="R19" s="83">
        <f>SUM($B19:E19)</f>
        <v>1850</v>
      </c>
      <c r="S19" s="83">
        <f>SUM($B19:F19)</f>
        <v>3400</v>
      </c>
      <c r="T19" s="83">
        <f>SUM($B19:G19)</f>
        <v>5800</v>
      </c>
      <c r="U19" s="83">
        <f>SUM($B19:H19)</f>
        <v>9150</v>
      </c>
      <c r="V19" s="83">
        <f>SUM($B19:I19)</f>
        <v>13600</v>
      </c>
      <c r="W19" s="83">
        <f>SUM($B19:J19)</f>
        <v>19350</v>
      </c>
      <c r="X19" s="83">
        <f>SUM($B19:K19)</f>
        <v>26450</v>
      </c>
      <c r="Y19" s="83">
        <f>SUM($B19:L19)</f>
        <v>36950</v>
      </c>
    </row>
    <row r="20" spans="1:25" s="83" customFormat="1" ht="15">
      <c r="A20" s="83" t="s">
        <v>141</v>
      </c>
      <c r="B20" s="83">
        <v>600</v>
      </c>
      <c r="C20" s="83">
        <v>250</v>
      </c>
      <c r="D20" s="83">
        <v>800</v>
      </c>
      <c r="E20" s="83">
        <v>1650</v>
      </c>
      <c r="F20" s="83">
        <v>2750</v>
      </c>
      <c r="G20" s="83">
        <v>4100</v>
      </c>
      <c r="H20" s="83">
        <v>5650</v>
      </c>
      <c r="I20" s="83">
        <v>7350</v>
      </c>
      <c r="J20" s="83">
        <v>9300</v>
      </c>
      <c r="K20" s="83">
        <v>11400</v>
      </c>
      <c r="L20" s="83">
        <v>13250</v>
      </c>
      <c r="O20" s="83">
        <f t="shared" si="0"/>
        <v>600</v>
      </c>
      <c r="P20" s="83">
        <f>SUM($B20:C20)</f>
        <v>850</v>
      </c>
      <c r="Q20" s="83">
        <f>SUM($B20:D20)</f>
        <v>1650</v>
      </c>
      <c r="R20" s="83">
        <f>SUM($B20:E20)</f>
        <v>3300</v>
      </c>
      <c r="S20" s="83">
        <f>SUM($B20:F20)</f>
        <v>6050</v>
      </c>
      <c r="T20" s="83">
        <f>SUM($B20:G20)</f>
        <v>10150</v>
      </c>
      <c r="U20" s="83">
        <f>SUM($B20:H20)</f>
        <v>15800</v>
      </c>
      <c r="V20" s="83">
        <f>SUM($B20:I20)</f>
        <v>23150</v>
      </c>
      <c r="W20" s="83">
        <f>SUM($B20:J20)</f>
        <v>32450</v>
      </c>
      <c r="X20" s="83">
        <f>SUM($B20:K20)</f>
        <v>43850</v>
      </c>
      <c r="Y20" s="83">
        <f>SUM($B20:L20)</f>
        <v>57100</v>
      </c>
    </row>
    <row r="21" spans="1:25" s="159" customFormat="1" ht="15">
      <c r="A21" s="159" t="s">
        <v>197</v>
      </c>
      <c r="B21" s="159">
        <v>200</v>
      </c>
      <c r="C21" s="159">
        <v>100</v>
      </c>
      <c r="D21" s="159">
        <v>400</v>
      </c>
      <c r="E21" s="159">
        <v>1250</v>
      </c>
      <c r="F21" s="159">
        <v>1960</v>
      </c>
      <c r="G21" s="159">
        <v>2440</v>
      </c>
      <c r="H21" s="159">
        <v>3280</v>
      </c>
      <c r="I21" s="159">
        <v>4100</v>
      </c>
      <c r="J21" s="159">
        <v>5000</v>
      </c>
      <c r="K21" s="159">
        <v>6600</v>
      </c>
      <c r="L21" s="159">
        <v>8650</v>
      </c>
      <c r="O21" s="159">
        <f t="shared" si="0"/>
        <v>200</v>
      </c>
      <c r="P21" s="159">
        <f>SUM($B21:C21)</f>
        <v>300</v>
      </c>
      <c r="Q21" s="159">
        <f>SUM($B21:D21)</f>
        <v>700</v>
      </c>
      <c r="R21" s="159">
        <f>SUM($B21:E21)</f>
        <v>1950</v>
      </c>
      <c r="S21" s="159">
        <f>SUM($B21:F21)</f>
        <v>3910</v>
      </c>
      <c r="T21" s="159">
        <f>SUM($B21:G21)</f>
        <v>6350</v>
      </c>
      <c r="U21" s="159">
        <f>SUM($B21:H21)</f>
        <v>9630</v>
      </c>
      <c r="V21" s="159">
        <f>SUM($B21:I21)</f>
        <v>13730</v>
      </c>
      <c r="W21" s="159">
        <f>SUM($B21:J21)</f>
        <v>18730</v>
      </c>
      <c r="X21" s="159">
        <f>SUM($B21:K21)</f>
        <v>25330</v>
      </c>
      <c r="Y21" s="159">
        <f>SUM($B21:L21)</f>
        <v>33980</v>
      </c>
    </row>
    <row r="22" spans="1:25" s="159" customFormat="1" ht="15">
      <c r="A22" s="159" t="s">
        <v>198</v>
      </c>
      <c r="B22" s="159">
        <v>500</v>
      </c>
      <c r="C22" s="159">
        <v>400</v>
      </c>
      <c r="D22" s="159">
        <v>1200</v>
      </c>
      <c r="E22" s="159">
        <v>3200</v>
      </c>
      <c r="F22" s="159">
        <v>5800</v>
      </c>
      <c r="G22" s="159">
        <v>8600</v>
      </c>
      <c r="H22" s="159">
        <v>12400</v>
      </c>
      <c r="I22" s="159">
        <v>15600</v>
      </c>
      <c r="J22" s="159">
        <v>19500</v>
      </c>
      <c r="K22" s="159">
        <v>26000</v>
      </c>
      <c r="L22" s="159">
        <v>29500</v>
      </c>
      <c r="O22" s="159">
        <f t="shared" si="0"/>
        <v>500</v>
      </c>
      <c r="P22" s="159">
        <f>SUM($B22:C22)</f>
        <v>900</v>
      </c>
      <c r="Q22" s="159">
        <f>SUM($B22:D22)</f>
        <v>2100</v>
      </c>
      <c r="R22" s="159">
        <f>SUM($B22:E22)</f>
        <v>5300</v>
      </c>
      <c r="S22" s="159">
        <f>SUM($B22:F22)</f>
        <v>11100</v>
      </c>
      <c r="T22" s="159">
        <f>SUM($B22:G22)</f>
        <v>19700</v>
      </c>
      <c r="U22" s="159">
        <f>SUM($B22:H22)</f>
        <v>32100</v>
      </c>
      <c r="V22" s="159">
        <f>SUM($B22:I22)</f>
        <v>47700</v>
      </c>
      <c r="W22" s="159">
        <f>SUM($B22:J22)</f>
        <v>67200</v>
      </c>
      <c r="X22" s="159">
        <f>SUM($B22:K22)</f>
        <v>93200</v>
      </c>
      <c r="Y22" s="159">
        <f>SUM($B22:L22)</f>
        <v>122700</v>
      </c>
    </row>
    <row r="23" spans="1:25" s="159" customFormat="1" ht="15">
      <c r="A23" s="159" t="s">
        <v>142</v>
      </c>
      <c r="B23" s="159">
        <v>500</v>
      </c>
      <c r="C23" s="159">
        <v>200</v>
      </c>
      <c r="D23" s="159">
        <v>600</v>
      </c>
      <c r="E23" s="159">
        <v>1400</v>
      </c>
      <c r="F23" s="159">
        <v>2400</v>
      </c>
      <c r="G23" s="159">
        <v>3600</v>
      </c>
      <c r="H23" s="159">
        <v>5000</v>
      </c>
      <c r="I23" s="159">
        <v>6600</v>
      </c>
      <c r="J23" s="159">
        <v>8400</v>
      </c>
      <c r="K23" s="159">
        <v>10400</v>
      </c>
      <c r="L23" s="159">
        <v>12600</v>
      </c>
      <c r="O23" s="159">
        <f t="shared" si="0"/>
        <v>500</v>
      </c>
      <c r="P23" s="159">
        <f>SUM($B23:C23)</f>
        <v>700</v>
      </c>
      <c r="Q23" s="159">
        <f>SUM($B23:D23)</f>
        <v>1300</v>
      </c>
      <c r="R23" s="159">
        <f>SUM($B23:E23)</f>
        <v>2700</v>
      </c>
      <c r="S23" s="159">
        <f>SUM($B23:F23)</f>
        <v>5100</v>
      </c>
      <c r="T23" s="159">
        <f>SUM($B23:G23)</f>
        <v>8700</v>
      </c>
      <c r="U23" s="159">
        <f>SUM($B23:H23)</f>
        <v>13700</v>
      </c>
      <c r="V23" s="159">
        <f>SUM($B23:I23)</f>
        <v>20300</v>
      </c>
      <c r="W23" s="159">
        <f>SUM($B23:J23)</f>
        <v>28700</v>
      </c>
      <c r="X23" s="159">
        <f>SUM($B23:K23)</f>
        <v>39100</v>
      </c>
      <c r="Y23" s="159">
        <f>SUM($B23:L23)</f>
        <v>51700</v>
      </c>
    </row>
    <row r="24" spans="1:25" s="83" customFormat="1" ht="15">
      <c r="A24" s="83" t="s">
        <v>257</v>
      </c>
      <c r="B24" s="83">
        <v>600</v>
      </c>
      <c r="C24" s="83">
        <v>250</v>
      </c>
      <c r="D24" s="83">
        <v>800</v>
      </c>
      <c r="E24" s="83">
        <v>1650</v>
      </c>
      <c r="F24" s="83">
        <v>2750</v>
      </c>
      <c r="G24" s="83">
        <v>4100</v>
      </c>
      <c r="H24" s="83">
        <v>5650</v>
      </c>
      <c r="I24" s="83">
        <v>7850</v>
      </c>
      <c r="J24" s="83">
        <v>9900</v>
      </c>
      <c r="K24" s="83">
        <v>11600</v>
      </c>
      <c r="L24" s="83">
        <v>13550</v>
      </c>
      <c r="O24" s="83">
        <f t="shared" si="0"/>
        <v>600</v>
      </c>
      <c r="P24" s="83">
        <f>SUM($B24:C24)</f>
        <v>850</v>
      </c>
      <c r="Q24" s="83">
        <f>SUM($B24:D24)</f>
        <v>1650</v>
      </c>
      <c r="R24" s="83">
        <f>SUM($B24:E24)</f>
        <v>3300</v>
      </c>
      <c r="S24" s="83">
        <f>SUM($B24:F24)</f>
        <v>6050</v>
      </c>
      <c r="T24" s="83">
        <f>SUM($B24:G24)</f>
        <v>10150</v>
      </c>
      <c r="U24" s="83">
        <f>SUM($B24:H24)</f>
        <v>15800</v>
      </c>
      <c r="V24" s="83">
        <f>SUM($B24:I24)</f>
        <v>23650</v>
      </c>
      <c r="W24" s="83">
        <f>SUM($B24:J24)</f>
        <v>33550</v>
      </c>
      <c r="X24" s="83">
        <f>SUM($B24:K24)</f>
        <v>45150</v>
      </c>
      <c r="Y24" s="83">
        <f>SUM($B24:L24)</f>
        <v>58700</v>
      </c>
    </row>
    <row r="25" spans="1:25" s="83" customFormat="1" ht="15">
      <c r="A25" s="83" t="s">
        <v>143</v>
      </c>
      <c r="B25" s="83">
        <v>750</v>
      </c>
      <c r="C25" s="83">
        <v>300</v>
      </c>
      <c r="D25" s="83">
        <v>1050</v>
      </c>
      <c r="E25" s="83">
        <v>2350</v>
      </c>
      <c r="F25" s="83">
        <v>4000</v>
      </c>
      <c r="G25" s="83">
        <v>5750</v>
      </c>
      <c r="H25" s="83">
        <v>7900</v>
      </c>
      <c r="I25" s="83">
        <v>10250</v>
      </c>
      <c r="J25" s="83">
        <v>12900</v>
      </c>
      <c r="K25" s="83">
        <v>14850</v>
      </c>
      <c r="L25" s="83">
        <v>16000</v>
      </c>
      <c r="O25" s="83">
        <f t="shared" si="0"/>
        <v>750</v>
      </c>
      <c r="P25" s="83">
        <f>SUM($B25:C25)</f>
        <v>1050</v>
      </c>
      <c r="Q25" s="83">
        <f>SUM($B25:D25)</f>
        <v>2100</v>
      </c>
      <c r="R25" s="83">
        <f>SUM($B25:E25)</f>
        <v>4450</v>
      </c>
      <c r="S25" s="83">
        <f>SUM($B25:F25)</f>
        <v>8450</v>
      </c>
      <c r="T25" s="83">
        <f>SUM($B25:G25)</f>
        <v>14200</v>
      </c>
      <c r="U25" s="83">
        <f>SUM($B25:H25)</f>
        <v>22100</v>
      </c>
      <c r="V25" s="83">
        <f>SUM($B25:I25)</f>
        <v>32350</v>
      </c>
      <c r="W25" s="83">
        <f>SUM($B25:J25)</f>
        <v>45250</v>
      </c>
      <c r="X25" s="83">
        <f>SUM($B25:K25)</f>
        <v>60100</v>
      </c>
      <c r="Y25" s="83">
        <f>SUM($B25:L25)</f>
        <v>76100</v>
      </c>
    </row>
    <row r="26" spans="1:25" ht="15">
      <c r="A26" t="s">
        <v>144</v>
      </c>
      <c r="B26">
        <v>250</v>
      </c>
      <c r="C26">
        <v>100</v>
      </c>
      <c r="D26">
        <v>200</v>
      </c>
      <c r="E26">
        <v>500</v>
      </c>
      <c r="F26">
        <v>1050</v>
      </c>
      <c r="G26">
        <v>1450</v>
      </c>
      <c r="H26">
        <v>2100</v>
      </c>
      <c r="I26">
        <v>2800</v>
      </c>
      <c r="J26">
        <v>3900</v>
      </c>
      <c r="K26">
        <v>4600</v>
      </c>
      <c r="L26">
        <v>7000</v>
      </c>
      <c r="O26" s="83">
        <f t="shared" si="0"/>
        <v>250</v>
      </c>
      <c r="P26" s="83">
        <f>SUM($B26:C26)</f>
        <v>350</v>
      </c>
      <c r="Q26" s="83">
        <f>SUM($B26:D26)</f>
        <v>550</v>
      </c>
      <c r="R26" s="83">
        <f>SUM($B26:E26)</f>
        <v>1050</v>
      </c>
      <c r="S26" s="83">
        <f>SUM($B26:F26)</f>
        <v>2100</v>
      </c>
      <c r="T26" s="83">
        <f>SUM($B26:G26)</f>
        <v>3550</v>
      </c>
      <c r="U26" s="83">
        <f>SUM($B26:H26)</f>
        <v>5650</v>
      </c>
      <c r="V26" s="83">
        <f>SUM($B26:I26)</f>
        <v>8450</v>
      </c>
      <c r="W26" s="83">
        <f>SUM($B26:J26)</f>
        <v>12350</v>
      </c>
      <c r="X26" s="83">
        <f>SUM($B26:K26)</f>
        <v>16950</v>
      </c>
      <c r="Y26" s="83">
        <f>SUM($B26:L26)</f>
        <v>23950</v>
      </c>
    </row>
    <row r="27" spans="1:25" s="159" customFormat="1" ht="15">
      <c r="A27" s="159" t="s">
        <v>413</v>
      </c>
      <c r="B27" s="159">
        <v>0</v>
      </c>
      <c r="C27" s="159">
        <v>150</v>
      </c>
      <c r="D27" s="159">
        <v>300</v>
      </c>
      <c r="E27" s="159">
        <v>450</v>
      </c>
      <c r="F27" s="159">
        <v>600</v>
      </c>
      <c r="G27" s="159">
        <v>750</v>
      </c>
      <c r="H27" s="159">
        <v>900</v>
      </c>
      <c r="I27" s="159">
        <v>1050</v>
      </c>
      <c r="J27" s="159">
        <v>1200</v>
      </c>
      <c r="K27" s="159">
        <v>1350</v>
      </c>
      <c r="L27" s="159">
        <v>1500</v>
      </c>
      <c r="O27" s="159">
        <f t="shared" si="0"/>
        <v>0</v>
      </c>
      <c r="P27" s="159">
        <f>SUM($B27:C27)</f>
        <v>150</v>
      </c>
      <c r="Q27" s="159">
        <f>SUM($B27:D27)</f>
        <v>450</v>
      </c>
      <c r="R27" s="159">
        <f>SUM($B27:E27)</f>
        <v>900</v>
      </c>
      <c r="S27" s="159">
        <f>SUM($B27:F27)</f>
        <v>1500</v>
      </c>
      <c r="T27" s="159">
        <f>SUM($B27:G27)</f>
        <v>2250</v>
      </c>
      <c r="U27" s="159">
        <f>SUM($B27:H27)</f>
        <v>3150</v>
      </c>
      <c r="V27" s="159">
        <f>SUM($B27:I27)</f>
        <v>4200</v>
      </c>
      <c r="W27" s="159">
        <f>SUM($B27:J27)</f>
        <v>5400</v>
      </c>
      <c r="X27" s="159">
        <f>SUM($B27:K27)</f>
        <v>6750</v>
      </c>
      <c r="Y27" s="159">
        <f>SUM($B27:L27)</f>
        <v>8250</v>
      </c>
    </row>
    <row r="28" spans="1:25" s="159" customFormat="1" ht="15">
      <c r="A28" s="159" t="s">
        <v>213</v>
      </c>
      <c r="B28" s="159">
        <v>0</v>
      </c>
      <c r="C28" s="159">
        <v>125</v>
      </c>
      <c r="D28" s="159">
        <v>250</v>
      </c>
      <c r="E28" s="159">
        <v>375</v>
      </c>
      <c r="F28" s="159">
        <v>500</v>
      </c>
      <c r="G28" s="159">
        <v>625</v>
      </c>
      <c r="H28" s="159">
        <v>750</v>
      </c>
      <c r="I28" s="159">
        <v>875</v>
      </c>
      <c r="J28" s="159">
        <v>1000</v>
      </c>
      <c r="K28" s="159">
        <v>1125</v>
      </c>
      <c r="L28" s="159">
        <v>1250</v>
      </c>
      <c r="O28" s="159">
        <f t="shared" si="0"/>
        <v>0</v>
      </c>
      <c r="P28" s="159">
        <f>SUM($B28:C28)</f>
        <v>125</v>
      </c>
      <c r="Q28" s="159">
        <f>SUM($B28:D28)</f>
        <v>375</v>
      </c>
      <c r="R28" s="159">
        <f>SUM($B28:E28)</f>
        <v>750</v>
      </c>
      <c r="S28" s="159">
        <f>SUM($B28:F28)</f>
        <v>1250</v>
      </c>
      <c r="T28" s="159">
        <f>SUM($B28:G28)</f>
        <v>1875</v>
      </c>
      <c r="U28" s="159">
        <f>SUM($B28:H28)</f>
        <v>2625</v>
      </c>
      <c r="V28" s="159">
        <f>SUM($B28:I28)</f>
        <v>3500</v>
      </c>
      <c r="W28" s="159">
        <f>SUM($B28:J28)</f>
        <v>4500</v>
      </c>
      <c r="X28" s="159">
        <f>SUM($B28:K28)</f>
        <v>5625</v>
      </c>
      <c r="Y28" s="159">
        <f>SUM($B28:L28)</f>
        <v>6875</v>
      </c>
    </row>
    <row r="29" spans="1:25" s="159" customFormat="1" ht="15">
      <c r="A29" s="159" t="s">
        <v>214</v>
      </c>
      <c r="B29" s="159">
        <v>0</v>
      </c>
      <c r="C29" s="159">
        <v>500</v>
      </c>
      <c r="D29" s="159">
        <v>1000</v>
      </c>
      <c r="E29" s="159">
        <v>1500</v>
      </c>
      <c r="F29" s="159">
        <v>2000</v>
      </c>
      <c r="G29" s="159">
        <v>2500</v>
      </c>
      <c r="H29" s="159">
        <v>3000</v>
      </c>
      <c r="I29" s="159">
        <v>33500</v>
      </c>
      <c r="J29" s="159">
        <v>4000</v>
      </c>
      <c r="K29" s="159">
        <v>4500</v>
      </c>
      <c r="L29" s="159">
        <v>5000</v>
      </c>
      <c r="O29" s="159">
        <f t="shared" si="0"/>
        <v>0</v>
      </c>
      <c r="P29" s="159">
        <f>SUM($B29:C29)</f>
        <v>500</v>
      </c>
      <c r="Q29" s="159">
        <f>SUM($B29:D29)</f>
        <v>1500</v>
      </c>
      <c r="R29" s="159">
        <f>SUM($B29:E29)</f>
        <v>3000</v>
      </c>
      <c r="S29" s="159">
        <f>SUM($B29:F29)</f>
        <v>5000</v>
      </c>
      <c r="T29" s="159">
        <f>SUM($B29:G29)</f>
        <v>7500</v>
      </c>
      <c r="U29" s="159">
        <f>SUM($B29:H29)</f>
        <v>10500</v>
      </c>
      <c r="V29" s="159">
        <f>SUM($B29:I29)</f>
        <v>44000</v>
      </c>
      <c r="W29" s="159">
        <f>SUM($B29:J29)</f>
        <v>48000</v>
      </c>
      <c r="X29" s="159">
        <f>SUM($B29:K29)</f>
        <v>52500</v>
      </c>
      <c r="Y29" s="159">
        <f>SUM($B29:L29)</f>
        <v>57500</v>
      </c>
    </row>
    <row r="30" spans="15:25" ht="15"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</row>
    <row r="31" spans="15:25" ht="15"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</row>
    <row r="32" spans="15:25" ht="15"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</row>
    <row r="33" spans="15:25" ht="15"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</row>
    <row r="34" spans="15:25" ht="15"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</row>
    <row r="35" spans="15:25" ht="15"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5:25" ht="15"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</row>
    <row r="37" spans="15:25" ht="15"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</row>
  </sheetData>
  <sheetProtection sheet="1" objects="1" scenarios="1"/>
  <mergeCells count="2">
    <mergeCell ref="B1:L1"/>
    <mergeCell ref="O1:Y1"/>
  </mergeCells>
  <printOptions/>
  <pageMargins left="0.75" right="0.75" top="1" bottom="1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28" sqref="C28:E28"/>
    </sheetView>
  </sheetViews>
  <sheetFormatPr defaultColWidth="8.88671875" defaultRowHeight="15"/>
  <cols>
    <col min="1" max="1" width="12.5546875" style="0" bestFit="1" customWidth="1"/>
    <col min="2" max="2" width="11.88671875" style="0" bestFit="1" customWidth="1"/>
    <col min="3" max="3" width="12.99609375" style="0" bestFit="1" customWidth="1"/>
    <col min="4" max="4" width="11.5546875" style="0" customWidth="1"/>
    <col min="5" max="5" width="11.6640625" style="0" bestFit="1" customWidth="1"/>
    <col min="6" max="6" width="8.6640625" style="0" customWidth="1"/>
    <col min="7" max="7" width="8.10546875" style="0" bestFit="1" customWidth="1"/>
    <col min="8" max="8" width="3.99609375" style="0" customWidth="1"/>
    <col min="9" max="16384" width="8.6640625" style="0" customWidth="1"/>
  </cols>
  <sheetData>
    <row r="1" spans="1:5" ht="15">
      <c r="A1" s="180" t="s">
        <v>399</v>
      </c>
      <c r="B1" s="181" t="s">
        <v>400</v>
      </c>
      <c r="C1" s="181" t="s">
        <v>403</v>
      </c>
      <c r="D1" s="181" t="s">
        <v>401</v>
      </c>
      <c r="E1" s="182" t="s">
        <v>411</v>
      </c>
    </row>
    <row r="2" spans="1:5" s="174" customFormat="1" ht="15">
      <c r="A2" s="183"/>
      <c r="B2" s="118"/>
      <c r="C2" s="118"/>
      <c r="D2" s="118"/>
      <c r="E2" s="184"/>
    </row>
    <row r="3" spans="1:5" ht="15">
      <c r="A3" s="183" t="s">
        <v>412</v>
      </c>
      <c r="B3" s="118">
        <v>0</v>
      </c>
      <c r="C3" s="118">
        <v>0</v>
      </c>
      <c r="D3" s="118">
        <v>0</v>
      </c>
      <c r="E3" s="184">
        <v>5</v>
      </c>
    </row>
    <row r="4" spans="1:5" ht="15">
      <c r="A4" s="185" t="s">
        <v>404</v>
      </c>
      <c r="B4" s="1">
        <v>1</v>
      </c>
      <c r="C4" s="1">
        <v>1</v>
      </c>
      <c r="D4" s="1">
        <v>0</v>
      </c>
      <c r="E4" s="186">
        <v>5</v>
      </c>
    </row>
    <row r="5" spans="1:5" ht="15">
      <c r="A5" s="185" t="s">
        <v>405</v>
      </c>
      <c r="B5" s="1">
        <v>3</v>
      </c>
      <c r="C5" s="1">
        <v>4</v>
      </c>
      <c r="D5" s="1">
        <v>-1</v>
      </c>
      <c r="E5" s="186">
        <v>0</v>
      </c>
    </row>
    <row r="6" spans="1:5" ht="15">
      <c r="A6" s="185" t="s">
        <v>406</v>
      </c>
      <c r="B6" s="1">
        <v>4</v>
      </c>
      <c r="C6" s="1">
        <v>5</v>
      </c>
      <c r="D6" s="1">
        <v>-3</v>
      </c>
      <c r="E6" s="186">
        <v>-5</v>
      </c>
    </row>
    <row r="7" spans="1:5" ht="15">
      <c r="A7" s="185" t="s">
        <v>407</v>
      </c>
      <c r="B7" s="1">
        <v>7</v>
      </c>
      <c r="C7" s="1">
        <v>6</v>
      </c>
      <c r="D7" s="1">
        <v>-2</v>
      </c>
      <c r="E7" s="186">
        <v>-10</v>
      </c>
    </row>
    <row r="8" spans="1:5" ht="15">
      <c r="A8" s="185" t="s">
        <v>408</v>
      </c>
      <c r="B8" s="1">
        <v>6</v>
      </c>
      <c r="C8" s="1">
        <v>6</v>
      </c>
      <c r="D8" s="1">
        <v>-2</v>
      </c>
      <c r="E8" s="186">
        <v>-15</v>
      </c>
    </row>
    <row r="9" spans="1:5" ht="15">
      <c r="A9" s="185" t="s">
        <v>409</v>
      </c>
      <c r="B9" s="1">
        <v>8</v>
      </c>
      <c r="C9" s="1">
        <v>7</v>
      </c>
      <c r="D9" s="1">
        <v>-3</v>
      </c>
      <c r="E9" s="186">
        <v>-20</v>
      </c>
    </row>
    <row r="10" spans="1:5" ht="15">
      <c r="A10" s="187" t="s">
        <v>410</v>
      </c>
      <c r="B10" s="188">
        <v>7</v>
      </c>
      <c r="C10" s="188">
        <v>8</v>
      </c>
      <c r="D10" s="188">
        <v>-3</v>
      </c>
      <c r="E10" s="189">
        <v>-20</v>
      </c>
    </row>
    <row r="13" spans="1:4" ht="15">
      <c r="A13" s="180" t="s">
        <v>259</v>
      </c>
      <c r="B13" s="181" t="s">
        <v>400</v>
      </c>
      <c r="C13" s="181" t="s">
        <v>260</v>
      </c>
      <c r="D13" s="182" t="s">
        <v>261</v>
      </c>
    </row>
    <row r="14" spans="1:4" ht="15">
      <c r="A14" s="190"/>
      <c r="B14" s="191"/>
      <c r="C14" s="191"/>
      <c r="D14" s="192"/>
    </row>
    <row r="15" spans="1:4" ht="15">
      <c r="A15" s="185" t="s">
        <v>262</v>
      </c>
      <c r="B15" s="1">
        <v>3</v>
      </c>
      <c r="C15" s="1">
        <v>2</v>
      </c>
      <c r="D15" s="186">
        <v>0</v>
      </c>
    </row>
    <row r="16" spans="1:4" ht="15">
      <c r="A16" s="185" t="s">
        <v>263</v>
      </c>
      <c r="B16" s="1">
        <v>5</v>
      </c>
      <c r="C16" s="1">
        <v>3</v>
      </c>
      <c r="D16" s="186">
        <v>-2</v>
      </c>
    </row>
    <row r="17" spans="1:4" ht="15">
      <c r="A17" s="185" t="s">
        <v>264</v>
      </c>
      <c r="B17" s="1">
        <v>10</v>
      </c>
      <c r="C17" s="1">
        <v>4</v>
      </c>
      <c r="D17" s="186">
        <v>-3</v>
      </c>
    </row>
    <row r="18" spans="1:4" ht="15">
      <c r="A18" s="185" t="s">
        <v>265</v>
      </c>
      <c r="B18" s="1">
        <v>15</v>
      </c>
      <c r="C18" s="1">
        <v>5</v>
      </c>
      <c r="D18" s="186">
        <v>-4</v>
      </c>
    </row>
    <row r="19" spans="1:4" ht="15">
      <c r="A19" s="185" t="s">
        <v>266</v>
      </c>
      <c r="B19" s="1">
        <v>25</v>
      </c>
      <c r="C19" s="1">
        <v>6</v>
      </c>
      <c r="D19" s="186">
        <v>-6</v>
      </c>
    </row>
    <row r="20" spans="1:4" ht="15">
      <c r="A20" s="187" t="s">
        <v>361</v>
      </c>
      <c r="B20" s="188">
        <v>1</v>
      </c>
      <c r="C20" s="188">
        <v>2</v>
      </c>
      <c r="D20" s="189">
        <v>0</v>
      </c>
    </row>
    <row r="23" spans="1:3" ht="15">
      <c r="A23" s="197" t="s">
        <v>217</v>
      </c>
      <c r="B23" s="231" t="s">
        <v>225</v>
      </c>
      <c r="C23" s="198" t="s">
        <v>237</v>
      </c>
    </row>
    <row r="24" spans="1:14" ht="15">
      <c r="A24" s="185" t="s">
        <v>377</v>
      </c>
      <c r="B24" s="1">
        <v>0</v>
      </c>
      <c r="C24" s="186">
        <v>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87" t="s">
        <v>224</v>
      </c>
      <c r="B25" s="188">
        <v>-0.5</v>
      </c>
      <c r="C25" s="189">
        <v>1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F27" s="1"/>
      <c r="G27" s="1"/>
      <c r="H27" s="1"/>
      <c r="I27" s="1"/>
      <c r="J27" s="1"/>
      <c r="K27" s="1"/>
      <c r="L27" s="1"/>
      <c r="M27" s="1"/>
      <c r="N27" s="1"/>
    </row>
    <row r="28" spans="1:2" ht="15">
      <c r="A28" s="1"/>
      <c r="B28" s="1"/>
    </row>
    <row r="29" spans="1:2" ht="15">
      <c r="A29" s="1"/>
      <c r="B29" s="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W73"/>
  <sheetViews>
    <sheetView zoomScale="50" zoomScaleNormal="50" workbookViewId="0" topLeftCell="A1">
      <pane xSplit="2" topLeftCell="C1" activePane="topRight" state="frozen"/>
      <selection pane="topLeft" activeCell="A28" sqref="C28:E28"/>
      <selection pane="topRight" activeCell="A28" sqref="C28:E28"/>
    </sheetView>
  </sheetViews>
  <sheetFormatPr defaultColWidth="8.88671875" defaultRowHeight="15"/>
  <cols>
    <col min="1" max="1" width="8.6640625" style="0" customWidth="1"/>
    <col min="2" max="2" width="17.10546875" style="0" customWidth="1"/>
    <col min="3" max="6" width="4.6640625" style="130" customWidth="1"/>
    <col min="7" max="7" width="6.4453125" style="130" customWidth="1"/>
    <col min="8" max="8" width="7.10546875" style="130" customWidth="1"/>
    <col min="9" max="18" width="4.6640625" style="130" customWidth="1"/>
    <col min="19" max="19" width="5.88671875" style="130" customWidth="1"/>
    <col min="20" max="22" width="4.6640625" style="130" customWidth="1"/>
    <col min="23" max="23" width="4.99609375" style="0" customWidth="1"/>
    <col min="24" max="24" width="3.6640625" style="0" bestFit="1" customWidth="1"/>
    <col min="25" max="25" width="6.99609375" style="0" bestFit="1" customWidth="1"/>
    <col min="26" max="26" width="11.5546875" style="0" bestFit="1" customWidth="1"/>
    <col min="27" max="27" width="4.88671875" style="165" bestFit="1" customWidth="1"/>
    <col min="28" max="28" width="5.6640625" style="165" bestFit="1" customWidth="1"/>
    <col min="29" max="29" width="6.3359375" style="165" bestFit="1" customWidth="1"/>
    <col min="30" max="30" width="5.4453125" style="165" bestFit="1" customWidth="1"/>
    <col min="31" max="16384" width="8.6640625" style="0" customWidth="1"/>
  </cols>
  <sheetData>
    <row r="1" spans="3:49" ht="15">
      <c r="C1" s="614" t="s">
        <v>364</v>
      </c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238"/>
      <c r="O1" s="238"/>
      <c r="P1" s="238"/>
      <c r="Q1" s="238"/>
      <c r="R1" s="238"/>
      <c r="S1" s="238"/>
      <c r="T1" s="238"/>
      <c r="U1" s="238"/>
      <c r="V1" s="238"/>
      <c r="AM1" s="614" t="s">
        <v>364</v>
      </c>
      <c r="AN1" s="614"/>
      <c r="AO1" s="614"/>
      <c r="AP1" s="614"/>
      <c r="AQ1" s="614"/>
      <c r="AR1" s="614"/>
      <c r="AS1" s="614"/>
      <c r="AT1" s="614"/>
      <c r="AU1" s="614"/>
      <c r="AV1" s="614"/>
      <c r="AW1" s="614"/>
    </row>
    <row r="2" spans="1:39" ht="15.75">
      <c r="A2" s="158" t="s">
        <v>618</v>
      </c>
      <c r="B2">
        <f>""</f>
      </c>
      <c r="C2" s="125">
        <v>0</v>
      </c>
      <c r="D2" s="125">
        <v>1</v>
      </c>
      <c r="E2" s="125">
        <v>2</v>
      </c>
      <c r="F2" s="125">
        <v>3</v>
      </c>
      <c r="G2" s="125">
        <v>4</v>
      </c>
      <c r="H2" s="125">
        <v>5</v>
      </c>
      <c r="I2" s="125">
        <v>6</v>
      </c>
      <c r="J2" s="125">
        <v>7</v>
      </c>
      <c r="K2" s="125">
        <v>8</v>
      </c>
      <c r="L2" s="125">
        <v>9</v>
      </c>
      <c r="M2" s="125">
        <v>10</v>
      </c>
      <c r="N2" t="s">
        <v>538</v>
      </c>
      <c r="O2" t="s">
        <v>366</v>
      </c>
      <c r="P2" t="s">
        <v>367</v>
      </c>
      <c r="Q2" s="165" t="s">
        <v>368</v>
      </c>
      <c r="R2" s="165" t="s">
        <v>369</v>
      </c>
      <c r="S2" s="165" t="s">
        <v>302</v>
      </c>
      <c r="T2" s="165" t="s">
        <v>370</v>
      </c>
      <c r="U2"/>
      <c r="V2"/>
      <c r="AA2"/>
      <c r="AB2"/>
      <c r="AC2" s="162">
        <v>0</v>
      </c>
      <c r="AD2" s="162">
        <v>1</v>
      </c>
      <c r="AE2" s="162">
        <v>2</v>
      </c>
      <c r="AF2" s="162">
        <v>3</v>
      </c>
      <c r="AG2" s="162">
        <v>4</v>
      </c>
      <c r="AH2" s="162">
        <v>5</v>
      </c>
      <c r="AI2" s="162">
        <v>6</v>
      </c>
      <c r="AJ2" s="162">
        <v>7</v>
      </c>
      <c r="AK2" s="162">
        <v>8</v>
      </c>
      <c r="AL2" s="162">
        <v>9</v>
      </c>
      <c r="AM2" s="162">
        <v>10</v>
      </c>
    </row>
    <row r="3" spans="2:39" s="159" customFormat="1" ht="15">
      <c r="B3" s="159" t="s">
        <v>360</v>
      </c>
      <c r="C3" s="161">
        <v>25</v>
      </c>
      <c r="D3" s="161">
        <v>25</v>
      </c>
      <c r="E3" s="161">
        <v>50</v>
      </c>
      <c r="F3" s="161">
        <v>100</v>
      </c>
      <c r="G3" s="161">
        <v>200</v>
      </c>
      <c r="H3" s="161">
        <v>400</v>
      </c>
      <c r="I3" s="161">
        <v>700</v>
      </c>
      <c r="J3" s="161">
        <v>1500</v>
      </c>
      <c r="K3" s="161">
        <v>300</v>
      </c>
      <c r="L3" s="161">
        <v>4000</v>
      </c>
      <c r="M3" s="161" t="s">
        <v>365</v>
      </c>
      <c r="N3" s="159">
        <v>7</v>
      </c>
      <c r="O3" s="164">
        <f>10/16</f>
        <v>0.625</v>
      </c>
      <c r="P3" s="159">
        <v>40</v>
      </c>
      <c r="Q3" s="166">
        <v>0</v>
      </c>
      <c r="R3" s="166" t="s">
        <v>371</v>
      </c>
      <c r="S3" s="166">
        <v>8</v>
      </c>
      <c r="T3" s="166" t="s">
        <v>375</v>
      </c>
      <c r="AC3" s="159">
        <f>SUM($C3)</f>
        <v>25</v>
      </c>
      <c r="AD3" s="159">
        <f>IF(D3="-","BadRank",SUM($C3:D3))</f>
        <v>50</v>
      </c>
      <c r="AE3" s="159">
        <f>IF(E3="-","BadRank",SUM($C3:E3))</f>
        <v>100</v>
      </c>
      <c r="AF3" s="159">
        <f>IF(F3="-","BadRank",SUM($C3:F3))</f>
        <v>200</v>
      </c>
      <c r="AG3" s="159">
        <f>IF(G3="-","BadRank",SUM($C3:G3))</f>
        <v>400</v>
      </c>
      <c r="AH3" s="159">
        <f>IF(H3="-","BadRank",SUM($C3:H3))</f>
        <v>800</v>
      </c>
      <c r="AI3" s="159">
        <f>IF(I3="-","BadRank",SUM($C3:I3))</f>
        <v>1500</v>
      </c>
      <c r="AJ3" s="159">
        <f>IF(J3="-","BadRank",SUM($C3:J3))</f>
        <v>3000</v>
      </c>
      <c r="AK3" s="159">
        <f>IF(K3="-","BadRank",SUM($C3:K3))</f>
        <v>3300</v>
      </c>
      <c r="AL3" s="159">
        <f>IF(L3="-","BadRank",SUM($C3:L3))</f>
        <v>7300</v>
      </c>
      <c r="AM3" s="159" t="str">
        <f>IF(M3="-","BadRank",SUM($C3:M3))</f>
        <v>BadRank</v>
      </c>
    </row>
    <row r="4" spans="2:39" s="159" customFormat="1" ht="15">
      <c r="B4" s="159" t="s">
        <v>361</v>
      </c>
      <c r="C4" s="161">
        <v>50</v>
      </c>
      <c r="D4" s="161">
        <v>50</v>
      </c>
      <c r="E4" s="161">
        <v>100</v>
      </c>
      <c r="F4" s="161">
        <v>200</v>
      </c>
      <c r="G4" s="161">
        <v>400</v>
      </c>
      <c r="H4" s="161">
        <v>1100</v>
      </c>
      <c r="I4" s="161">
        <v>1500</v>
      </c>
      <c r="J4" s="161">
        <v>3000</v>
      </c>
      <c r="K4" s="161">
        <v>3000</v>
      </c>
      <c r="L4" s="161">
        <v>3000</v>
      </c>
      <c r="M4" s="161">
        <v>4000</v>
      </c>
      <c r="N4" s="159">
        <v>8</v>
      </c>
      <c r="O4" s="159">
        <v>1</v>
      </c>
      <c r="P4" s="159">
        <v>45</v>
      </c>
      <c r="Q4" s="166">
        <v>1</v>
      </c>
      <c r="R4" s="166" t="s">
        <v>371</v>
      </c>
      <c r="S4" s="166" t="s">
        <v>374</v>
      </c>
      <c r="T4" s="166" t="s">
        <v>376</v>
      </c>
      <c r="AC4" s="159">
        <f>SUM($C4)</f>
        <v>50</v>
      </c>
      <c r="AD4" s="159">
        <f>IF(D4="-","BadRank",SUM($C4:D4))</f>
        <v>100</v>
      </c>
      <c r="AE4" s="159">
        <f>IF(E4="-","BadRank",SUM($C4:E4))</f>
        <v>200</v>
      </c>
      <c r="AF4" s="159">
        <f>IF(F4="-","BadRank",SUM($C4:F4))</f>
        <v>400</v>
      </c>
      <c r="AG4" s="159">
        <f>IF(G4="-","BadRank",SUM($C4:G4))</f>
        <v>800</v>
      </c>
      <c r="AH4" s="159">
        <f>IF(H4="-","BadRank",SUM($C4:H4))</f>
        <v>1900</v>
      </c>
      <c r="AI4" s="159">
        <f>IF(I4="-","BadRank",SUM($C4:I4))</f>
        <v>3400</v>
      </c>
      <c r="AJ4" s="159">
        <f>IF(J4="-","BadRank",SUM($C4:J4))</f>
        <v>6400</v>
      </c>
      <c r="AK4" s="159">
        <f>IF(K4="-","BadRank",SUM($C4:K4))</f>
        <v>9400</v>
      </c>
      <c r="AL4" s="159">
        <f>IF(L4="-","BadRank",SUM($C4:L4))</f>
        <v>12400</v>
      </c>
      <c r="AM4" s="159">
        <f>IF(M4="-","BadRank",SUM($C4:M4))</f>
        <v>16400</v>
      </c>
    </row>
    <row r="5" spans="2:39" s="159" customFormat="1" ht="15">
      <c r="B5" s="159" t="s">
        <v>607</v>
      </c>
      <c r="C5" s="161">
        <v>100</v>
      </c>
      <c r="D5" s="161">
        <v>100</v>
      </c>
      <c r="E5" s="161">
        <v>200</v>
      </c>
      <c r="F5" s="161">
        <v>400</v>
      </c>
      <c r="G5" s="161">
        <v>700</v>
      </c>
      <c r="H5" s="161">
        <v>1500</v>
      </c>
      <c r="I5" s="161">
        <v>3000</v>
      </c>
      <c r="J5" s="161" t="s">
        <v>365</v>
      </c>
      <c r="K5" s="161" t="s">
        <v>365</v>
      </c>
      <c r="L5" s="161" t="s">
        <v>365</v>
      </c>
      <c r="M5" s="161" t="s">
        <v>365</v>
      </c>
      <c r="N5" s="159">
        <v>10</v>
      </c>
      <c r="O5" s="159">
        <v>2</v>
      </c>
      <c r="P5" s="159">
        <v>45</v>
      </c>
      <c r="Q5" s="166">
        <v>3</v>
      </c>
      <c r="R5" s="166" t="s">
        <v>371</v>
      </c>
      <c r="S5" s="166" t="s">
        <v>374</v>
      </c>
      <c r="T5" s="166" t="s">
        <v>377</v>
      </c>
      <c r="AC5" s="159">
        <f aca="true" t="shared" si="0" ref="AC5:AC66">SUM($C5)</f>
        <v>100</v>
      </c>
      <c r="AD5" s="159">
        <f>IF(D5="-","BadRank",SUM($C5:D5))</f>
        <v>200</v>
      </c>
      <c r="AE5" s="159">
        <f>IF(E5="-","BadRank",SUM($C5:E5))</f>
        <v>400</v>
      </c>
      <c r="AF5" s="159">
        <f>IF(F5="-","BadRank",SUM($C5:F5))</f>
        <v>800</v>
      </c>
      <c r="AG5" s="159">
        <f>IF(G5="-","BadRank",SUM($C5:G5))</f>
        <v>1500</v>
      </c>
      <c r="AH5" s="159">
        <f>IF(H5="-","BadRank",SUM($C5:H5))</f>
        <v>3000</v>
      </c>
      <c r="AI5" s="159">
        <f>IF(I5="-","BadRank",SUM($C5:I5))</f>
        <v>6000</v>
      </c>
      <c r="AJ5" s="159" t="str">
        <f>IF(J5="-","BadRank",SUM($C5:J5))</f>
        <v>BadRank</v>
      </c>
      <c r="AK5" s="159" t="str">
        <f>IF(K5="-","BadRank",SUM($C5:K5))</f>
        <v>BadRank</v>
      </c>
      <c r="AL5" s="159" t="str">
        <f>IF(L5="-","BadRank",SUM($C5:L5))</f>
        <v>BadRank</v>
      </c>
      <c r="AM5" s="159" t="str">
        <f>IF(M5="-","BadRank",SUM($C5:M5))</f>
        <v>BadRank</v>
      </c>
    </row>
    <row r="6" spans="2:39" ht="15">
      <c r="B6" t="s">
        <v>608</v>
      </c>
      <c r="C6" s="130">
        <v>25</v>
      </c>
      <c r="D6" s="130">
        <v>25</v>
      </c>
      <c r="E6" s="130">
        <v>50</v>
      </c>
      <c r="F6" s="130">
        <v>100</v>
      </c>
      <c r="G6" s="130">
        <v>200</v>
      </c>
      <c r="H6" s="130">
        <v>400</v>
      </c>
      <c r="I6" s="130">
        <v>700</v>
      </c>
      <c r="J6" s="130">
        <v>1500</v>
      </c>
      <c r="K6" s="130">
        <v>3000</v>
      </c>
      <c r="L6" s="130" t="s">
        <v>365</v>
      </c>
      <c r="M6" s="130" t="s">
        <v>365</v>
      </c>
      <c r="N6">
        <v>12</v>
      </c>
      <c r="O6">
        <v>4</v>
      </c>
      <c r="P6">
        <v>50</v>
      </c>
      <c r="Q6" s="165">
        <v>2</v>
      </c>
      <c r="R6" s="165" t="s">
        <v>372</v>
      </c>
      <c r="S6" s="165" t="s">
        <v>374</v>
      </c>
      <c r="T6" s="165" t="s">
        <v>377</v>
      </c>
      <c r="U6"/>
      <c r="V6"/>
      <c r="AA6"/>
      <c r="AB6"/>
      <c r="AC6" s="83">
        <f t="shared" si="0"/>
        <v>25</v>
      </c>
      <c r="AD6" s="83">
        <f>IF(D6="-","BadRank",SUM($C6:D6))</f>
        <v>50</v>
      </c>
      <c r="AE6" s="83">
        <f>IF(E6="-","BadRank",SUM($C6:E6))</f>
        <v>100</v>
      </c>
      <c r="AF6" s="83">
        <f>IF(F6="-","BadRank",SUM($C6:F6))</f>
        <v>200</v>
      </c>
      <c r="AG6" s="83">
        <f>IF(G6="-","BadRank",SUM($C6:G6))</f>
        <v>400</v>
      </c>
      <c r="AH6" s="83">
        <f>IF(H6="-","BadRank",SUM($C6:H6))</f>
        <v>800</v>
      </c>
      <c r="AI6" s="83">
        <f>IF(I6="-","BadRank",SUM($C6:I6))</f>
        <v>1500</v>
      </c>
      <c r="AJ6" s="83">
        <f>IF(J6="-","BadRank",SUM($C6:J6))</f>
        <v>3000</v>
      </c>
      <c r="AK6" s="83">
        <f>IF(K6="-","BadRank",SUM($C6:K6))</f>
        <v>6000</v>
      </c>
      <c r="AL6" s="83" t="str">
        <f>IF(L6="-","BadRank",SUM($C6:L6))</f>
        <v>BadRank</v>
      </c>
      <c r="AM6" s="83" t="str">
        <f>IF(M6="-","BadRank",SUM($C6:M6))</f>
        <v>BadRank</v>
      </c>
    </row>
    <row r="7" spans="2:39" ht="15">
      <c r="B7" t="s">
        <v>609</v>
      </c>
      <c r="C7" s="130">
        <v>100</v>
      </c>
      <c r="D7" s="130">
        <v>100</v>
      </c>
      <c r="E7" s="130">
        <v>200</v>
      </c>
      <c r="F7" s="130">
        <v>400</v>
      </c>
      <c r="G7" s="130">
        <v>700</v>
      </c>
      <c r="H7" s="130">
        <v>1500</v>
      </c>
      <c r="I7" s="130">
        <v>3000</v>
      </c>
      <c r="J7" s="130">
        <v>3000</v>
      </c>
      <c r="K7" s="130">
        <v>3000</v>
      </c>
      <c r="L7" s="130" t="s">
        <v>365</v>
      </c>
      <c r="M7" s="130" t="s">
        <v>365</v>
      </c>
      <c r="N7">
        <v>1</v>
      </c>
      <c r="O7">
        <v>4</v>
      </c>
      <c r="P7">
        <v>50</v>
      </c>
      <c r="Q7" s="165">
        <v>3</v>
      </c>
      <c r="R7" s="165" t="s">
        <v>372</v>
      </c>
      <c r="S7" s="165" t="s">
        <v>374</v>
      </c>
      <c r="T7" s="165" t="s">
        <v>377</v>
      </c>
      <c r="U7"/>
      <c r="V7"/>
      <c r="AA7"/>
      <c r="AB7"/>
      <c r="AC7" s="83">
        <f t="shared" si="0"/>
        <v>100</v>
      </c>
      <c r="AD7" s="83">
        <f>IF(D7="-","BadRank",SUM($C7:D7))</f>
        <v>200</v>
      </c>
      <c r="AE7" s="83">
        <f>IF(E7="-","BadRank",SUM($C7:E7))</f>
        <v>400</v>
      </c>
      <c r="AF7" s="83">
        <f>IF(F7="-","BadRank",SUM($C7:F7))</f>
        <v>800</v>
      </c>
      <c r="AG7" s="83">
        <f>IF(G7="-","BadRank",SUM($C7:G7))</f>
        <v>1500</v>
      </c>
      <c r="AH7" s="83">
        <f>IF(H7="-","BadRank",SUM($C7:H7))</f>
        <v>3000</v>
      </c>
      <c r="AI7" s="83">
        <f>IF(I7="-","BadRank",SUM($C7:I7))</f>
        <v>6000</v>
      </c>
      <c r="AJ7" s="83">
        <f>IF(J7="-","BadRank",SUM($C7:J7))</f>
        <v>9000</v>
      </c>
      <c r="AK7" s="83">
        <f>IF(K7="-","BadRank",SUM($C7:K7))</f>
        <v>12000</v>
      </c>
      <c r="AL7" s="83" t="str">
        <f>IF(L7="-","BadRank",SUM($C7:L7))</f>
        <v>BadRank</v>
      </c>
      <c r="AM7" s="83" t="str">
        <f>IF(M7="-","BadRank",SUM($C7:M7))</f>
        <v>BadRank</v>
      </c>
    </row>
    <row r="8" spans="2:39" ht="15">
      <c r="B8" t="s">
        <v>610</v>
      </c>
      <c r="C8" s="130">
        <v>100</v>
      </c>
      <c r="D8" s="130">
        <v>100</v>
      </c>
      <c r="E8" s="130">
        <v>200</v>
      </c>
      <c r="F8" s="130">
        <v>400</v>
      </c>
      <c r="G8" s="130">
        <v>700</v>
      </c>
      <c r="H8" s="130">
        <v>1500</v>
      </c>
      <c r="I8" s="130">
        <v>3000</v>
      </c>
      <c r="J8" s="130">
        <v>3000</v>
      </c>
      <c r="K8" s="130">
        <v>3000</v>
      </c>
      <c r="L8" s="130" t="s">
        <v>365</v>
      </c>
      <c r="M8" s="130" t="s">
        <v>365</v>
      </c>
      <c r="N8">
        <v>13</v>
      </c>
      <c r="O8">
        <v>4</v>
      </c>
      <c r="P8">
        <v>50</v>
      </c>
      <c r="Q8" s="165">
        <v>4</v>
      </c>
      <c r="R8" s="165" t="s">
        <v>372</v>
      </c>
      <c r="S8" s="165" t="s">
        <v>374</v>
      </c>
      <c r="T8" s="165" t="s">
        <v>377</v>
      </c>
      <c r="U8"/>
      <c r="V8"/>
      <c r="AA8"/>
      <c r="AB8"/>
      <c r="AC8" s="83">
        <f t="shared" si="0"/>
        <v>100</v>
      </c>
      <c r="AD8" s="83">
        <f>IF(D8="-","BadRank",SUM($C8:D8))</f>
        <v>200</v>
      </c>
      <c r="AE8" s="83">
        <f>IF(E8="-","BadRank",SUM($C8:E8))</f>
        <v>400</v>
      </c>
      <c r="AF8" s="83">
        <f>IF(F8="-","BadRank",SUM($C8:F8))</f>
        <v>800</v>
      </c>
      <c r="AG8" s="83">
        <f>IF(G8="-","BadRank",SUM($C8:G8))</f>
        <v>1500</v>
      </c>
      <c r="AH8" s="83">
        <f>IF(H8="-","BadRank",SUM($C8:H8))</f>
        <v>3000</v>
      </c>
      <c r="AI8" s="83">
        <f>IF(I8="-","BadRank",SUM($C8:I8))</f>
        <v>6000</v>
      </c>
      <c r="AJ8" s="83">
        <f>IF(J8="-","BadRank",SUM($C8:J8))</f>
        <v>9000</v>
      </c>
      <c r="AK8" s="83">
        <f>IF(K8="-","BadRank",SUM($C8:K8))</f>
        <v>12000</v>
      </c>
      <c r="AL8" s="83" t="str">
        <f>IF(L8="-","BadRank",SUM($C8:L8))</f>
        <v>BadRank</v>
      </c>
      <c r="AM8" s="83" t="str">
        <f>IF(M8="-","BadRank",SUM($C8:M8))</f>
        <v>BadRank</v>
      </c>
    </row>
    <row r="9" spans="2:39" s="159" customFormat="1" ht="15">
      <c r="B9" s="159" t="s">
        <v>611</v>
      </c>
      <c r="C9" s="159">
        <v>200</v>
      </c>
      <c r="D9" s="159">
        <v>200</v>
      </c>
      <c r="E9" s="159">
        <v>200</v>
      </c>
      <c r="F9" s="159">
        <v>200</v>
      </c>
      <c r="G9" s="159">
        <v>200</v>
      </c>
      <c r="H9" s="159">
        <v>500</v>
      </c>
      <c r="I9" s="159">
        <v>500</v>
      </c>
      <c r="J9" s="159">
        <v>2000</v>
      </c>
      <c r="K9" s="159">
        <v>4000</v>
      </c>
      <c r="L9" s="159">
        <v>4000</v>
      </c>
      <c r="M9" s="159">
        <v>3000</v>
      </c>
      <c r="N9" s="159">
        <v>11</v>
      </c>
      <c r="O9" s="159">
        <v>2</v>
      </c>
      <c r="P9" s="159">
        <v>45</v>
      </c>
      <c r="Q9" s="166">
        <v>3</v>
      </c>
      <c r="R9" s="166" t="s">
        <v>371</v>
      </c>
      <c r="S9" s="166" t="s">
        <v>374</v>
      </c>
      <c r="T9" s="166" t="s">
        <v>377</v>
      </c>
      <c r="AC9" s="159">
        <f t="shared" si="0"/>
        <v>200</v>
      </c>
      <c r="AD9" s="159">
        <f>IF(D9="-","BadRank",SUM($C9:D9))</f>
        <v>400</v>
      </c>
      <c r="AE9" s="159">
        <f>IF(E9="-","BadRank",SUM($C9:E9))</f>
        <v>600</v>
      </c>
      <c r="AF9" s="159">
        <f>IF(F9="-","BadRank",SUM($C9:F9))</f>
        <v>800</v>
      </c>
      <c r="AG9" s="159">
        <f>IF(G9="-","BadRank",SUM($C9:G9))</f>
        <v>1000</v>
      </c>
      <c r="AH9" s="159">
        <f>IF(H9="-","BadRank",SUM($C9:H9))</f>
        <v>1500</v>
      </c>
      <c r="AI9" s="159">
        <f>IF(I9="-","BadRank",SUM($C9:I9))</f>
        <v>2000</v>
      </c>
      <c r="AJ9" s="159">
        <f>IF(J9="-","BadRank",SUM($C9:J9))</f>
        <v>4000</v>
      </c>
      <c r="AK9" s="159">
        <f>IF(K9="-","BadRank",SUM($C9:K9))</f>
        <v>8000</v>
      </c>
      <c r="AL9" s="159">
        <f>IF(L9="-","BadRank",SUM($C9:L9))</f>
        <v>12000</v>
      </c>
      <c r="AM9" s="159">
        <f>IF(M9="-","BadRank",SUM($C9:M9))</f>
        <v>15000</v>
      </c>
    </row>
    <row r="10" spans="2:39" s="159" customFormat="1" ht="15">
      <c r="B10" s="159" t="s">
        <v>612</v>
      </c>
      <c r="C10" s="161">
        <v>150</v>
      </c>
      <c r="D10" s="161">
        <v>150</v>
      </c>
      <c r="E10" s="161">
        <v>200</v>
      </c>
      <c r="F10" s="161">
        <v>500</v>
      </c>
      <c r="G10" s="161">
        <v>1000</v>
      </c>
      <c r="H10" s="161">
        <v>2000</v>
      </c>
      <c r="I10" s="161">
        <v>2000</v>
      </c>
      <c r="J10" s="161">
        <v>2000</v>
      </c>
      <c r="K10" s="161" t="s">
        <v>365</v>
      </c>
      <c r="L10" s="161" t="s">
        <v>365</v>
      </c>
      <c r="M10" s="161" t="s">
        <v>365</v>
      </c>
      <c r="N10" s="159">
        <v>14</v>
      </c>
      <c r="O10" s="159">
        <v>3</v>
      </c>
      <c r="P10" s="159">
        <v>60</v>
      </c>
      <c r="Q10" s="166">
        <v>3</v>
      </c>
      <c r="R10" s="166" t="s">
        <v>372</v>
      </c>
      <c r="S10" s="166" t="s">
        <v>374</v>
      </c>
      <c r="T10" s="166" t="s">
        <v>377</v>
      </c>
      <c r="AC10" s="159">
        <f t="shared" si="0"/>
        <v>150</v>
      </c>
      <c r="AD10" s="159">
        <f>IF(D10="-","BadRank",SUM($C10:D10))</f>
        <v>300</v>
      </c>
      <c r="AE10" s="159">
        <f>IF(E10="-","BadRank",SUM($C10:E10))</f>
        <v>500</v>
      </c>
      <c r="AF10" s="159">
        <f>IF(F10="-","BadRank",SUM($C10:F10))</f>
        <v>1000</v>
      </c>
      <c r="AG10" s="159">
        <f>IF(G10="-","BadRank",SUM($C10:G10))</f>
        <v>2000</v>
      </c>
      <c r="AH10" s="159">
        <f>IF(H10="-","BadRank",SUM($C10:H10))</f>
        <v>4000</v>
      </c>
      <c r="AI10" s="159">
        <f>IF(I10="-","BadRank",SUM($C10:I10))</f>
        <v>6000</v>
      </c>
      <c r="AJ10" s="159">
        <f>IF(J10="-","BadRank",SUM($C10:J10))</f>
        <v>8000</v>
      </c>
      <c r="AK10" s="159" t="str">
        <f>IF(K10="-","BadRank",SUM($C10:K10))</f>
        <v>BadRank</v>
      </c>
      <c r="AL10" s="159" t="str">
        <f>IF(L10="-","BadRank",SUM($C10:L10))</f>
        <v>BadRank</v>
      </c>
      <c r="AM10" s="159" t="str">
        <f>IF(M10="-","BadRank",SUM($C10:M10))</f>
        <v>BadRank</v>
      </c>
    </row>
    <row r="11" spans="2:39" s="159" customFormat="1" ht="15">
      <c r="B11" s="159" t="s">
        <v>613</v>
      </c>
      <c r="C11" s="161">
        <v>50</v>
      </c>
      <c r="D11" s="161">
        <v>50</v>
      </c>
      <c r="E11" s="161">
        <v>100</v>
      </c>
      <c r="F11" s="161">
        <v>200</v>
      </c>
      <c r="G11" s="161">
        <v>400</v>
      </c>
      <c r="H11" s="161">
        <v>700</v>
      </c>
      <c r="I11" s="161">
        <v>1500</v>
      </c>
      <c r="J11" s="161" t="s">
        <v>365</v>
      </c>
      <c r="K11" s="161" t="s">
        <v>365</v>
      </c>
      <c r="L11" s="161" t="s">
        <v>365</v>
      </c>
      <c r="M11" s="161" t="s">
        <v>365</v>
      </c>
      <c r="N11" s="159">
        <v>15</v>
      </c>
      <c r="O11" s="159">
        <v>3</v>
      </c>
      <c r="P11" s="159">
        <v>55</v>
      </c>
      <c r="Q11" s="166">
        <v>4</v>
      </c>
      <c r="R11" s="166" t="s">
        <v>372</v>
      </c>
      <c r="S11" s="166" t="s">
        <v>374</v>
      </c>
      <c r="T11" s="166" t="s">
        <v>377</v>
      </c>
      <c r="AC11" s="159">
        <f t="shared" si="0"/>
        <v>50</v>
      </c>
      <c r="AD11" s="159">
        <f>IF(D11="-","BadRank",SUM($C11:D11))</f>
        <v>100</v>
      </c>
      <c r="AE11" s="159">
        <f>IF(E11="-","BadRank",SUM($C11:E11))</f>
        <v>200</v>
      </c>
      <c r="AF11" s="159">
        <f>IF(F11="-","BadRank",SUM($C11:F11))</f>
        <v>400</v>
      </c>
      <c r="AG11" s="159">
        <f>IF(G11="-","BadRank",SUM($C11:G11))</f>
        <v>800</v>
      </c>
      <c r="AH11" s="159">
        <f>IF(H11="-","BadRank",SUM($C11:H11))</f>
        <v>1500</v>
      </c>
      <c r="AI11" s="159">
        <f>IF(I11="-","BadRank",SUM($C11:I11))</f>
        <v>3000</v>
      </c>
      <c r="AJ11" s="159" t="str">
        <f>IF(J11="-","BadRank",SUM($C11:J11))</f>
        <v>BadRank</v>
      </c>
      <c r="AK11" s="159" t="str">
        <f>IF(K11="-","BadRank",SUM($C11:K11))</f>
        <v>BadRank</v>
      </c>
      <c r="AL11" s="159" t="str">
        <f>IF(L11="-","BadRank",SUM($C11:L11))</f>
        <v>BadRank</v>
      </c>
      <c r="AM11" s="159" t="str">
        <f>IF(M11="-","BadRank",SUM($C11:M11))</f>
        <v>BadRank</v>
      </c>
    </row>
    <row r="12" spans="2:39" ht="15">
      <c r="B12" t="s">
        <v>614</v>
      </c>
      <c r="C12" s="130">
        <v>75</v>
      </c>
      <c r="D12" s="130">
        <v>75</v>
      </c>
      <c r="E12" s="130">
        <v>150</v>
      </c>
      <c r="F12" s="130">
        <v>200</v>
      </c>
      <c r="G12" s="130">
        <v>500</v>
      </c>
      <c r="H12" s="130">
        <v>1000</v>
      </c>
      <c r="I12" s="130">
        <v>2000</v>
      </c>
      <c r="J12" s="130">
        <v>4000</v>
      </c>
      <c r="K12" s="130">
        <v>4000</v>
      </c>
      <c r="L12" s="130">
        <v>3000</v>
      </c>
      <c r="M12" s="130" t="s">
        <v>365</v>
      </c>
      <c r="N12">
        <v>15</v>
      </c>
      <c r="O12">
        <v>2</v>
      </c>
      <c r="P12">
        <v>45</v>
      </c>
      <c r="Q12" s="165">
        <v>5</v>
      </c>
      <c r="R12" s="165" t="s">
        <v>371</v>
      </c>
      <c r="S12" s="165" t="s">
        <v>374</v>
      </c>
      <c r="T12" s="165" t="s">
        <v>377</v>
      </c>
      <c r="U12"/>
      <c r="V12"/>
      <c r="AA12"/>
      <c r="AB12"/>
      <c r="AC12" s="83">
        <f t="shared" si="0"/>
        <v>75</v>
      </c>
      <c r="AD12" s="83">
        <f>IF(D12="-","BadRank",SUM($C12:D12))</f>
        <v>150</v>
      </c>
      <c r="AE12" s="83">
        <f>IF(E12="-","BadRank",SUM($C12:E12))</f>
        <v>300</v>
      </c>
      <c r="AF12" s="83">
        <f>IF(F12="-","BadRank",SUM($C12:F12))</f>
        <v>500</v>
      </c>
      <c r="AG12" s="83">
        <f>IF(G12="-","BadRank",SUM($C12:G12))</f>
        <v>1000</v>
      </c>
      <c r="AH12" s="83">
        <f>IF(H12="-","BadRank",SUM($C12:H12))</f>
        <v>2000</v>
      </c>
      <c r="AI12" s="83">
        <f>IF(I12="-","BadRank",SUM($C12:I12))</f>
        <v>4000</v>
      </c>
      <c r="AJ12" s="83">
        <f>IF(J12="-","BadRank",SUM($C12:J12))</f>
        <v>8000</v>
      </c>
      <c r="AK12" s="83">
        <f>IF(K12="-","BadRank",SUM($C12:K12))</f>
        <v>12000</v>
      </c>
      <c r="AL12" s="83">
        <f>IF(L12="-","BadRank",SUM($C12:L12))</f>
        <v>15000</v>
      </c>
      <c r="AM12" s="83" t="str">
        <f>IF(M12="-","BadRank",SUM($C12:M12))</f>
        <v>BadRank</v>
      </c>
    </row>
    <row r="13" spans="2:39" ht="15">
      <c r="B13" t="s">
        <v>615</v>
      </c>
      <c r="C13" s="130">
        <v>100</v>
      </c>
      <c r="D13" s="130">
        <v>100</v>
      </c>
      <c r="E13" s="130">
        <v>200</v>
      </c>
      <c r="F13" s="130">
        <v>400</v>
      </c>
      <c r="G13" s="130">
        <v>500</v>
      </c>
      <c r="H13" s="130">
        <v>900</v>
      </c>
      <c r="I13" s="130">
        <v>1700</v>
      </c>
      <c r="J13" s="130">
        <v>2000</v>
      </c>
      <c r="K13" s="130" t="s">
        <v>365</v>
      </c>
      <c r="L13" s="130" t="s">
        <v>365</v>
      </c>
      <c r="M13" s="130" t="s">
        <v>365</v>
      </c>
      <c r="N13">
        <v>17</v>
      </c>
      <c r="O13">
        <v>6</v>
      </c>
      <c r="P13">
        <v>60</v>
      </c>
      <c r="Q13" s="165">
        <v>5</v>
      </c>
      <c r="R13" s="165" t="s">
        <v>372</v>
      </c>
      <c r="S13" s="165" t="s">
        <v>374</v>
      </c>
      <c r="T13" s="165" t="s">
        <v>377</v>
      </c>
      <c r="U13"/>
      <c r="V13"/>
      <c r="AA13"/>
      <c r="AB13"/>
      <c r="AC13" s="83">
        <f t="shared" si="0"/>
        <v>100</v>
      </c>
      <c r="AD13" s="83">
        <f>IF(D13="-","BadRank",SUM($C13:D13))</f>
        <v>200</v>
      </c>
      <c r="AE13" s="83">
        <f>IF(E13="-","BadRank",SUM($C13:E13))</f>
        <v>400</v>
      </c>
      <c r="AF13" s="83">
        <f>IF(F13="-","BadRank",SUM($C13:F13))</f>
        <v>800</v>
      </c>
      <c r="AG13" s="83">
        <f>IF(G13="-","BadRank",SUM($C13:G13))</f>
        <v>1300</v>
      </c>
      <c r="AH13" s="83">
        <f>IF(H13="-","BadRank",SUM($C13:H13))</f>
        <v>2200</v>
      </c>
      <c r="AI13" s="83">
        <f>IF(I13="-","BadRank",SUM($C13:I13))</f>
        <v>3900</v>
      </c>
      <c r="AJ13" s="83">
        <f>IF(J13="-","BadRank",SUM($C13:J13))</f>
        <v>5900</v>
      </c>
      <c r="AK13" s="83" t="str">
        <f>IF(K13="-","BadRank",SUM($C13:K13))</f>
        <v>BadRank</v>
      </c>
      <c r="AL13" s="83" t="str">
        <f>IF(L13="-","BadRank",SUM($C13:L13))</f>
        <v>BadRank</v>
      </c>
      <c r="AM13" s="83" t="str">
        <f>IF(M13="-","BadRank",SUM($C13:M13))</f>
        <v>BadRank</v>
      </c>
    </row>
    <row r="14" spans="2:39" s="159" customFormat="1" ht="15">
      <c r="B14" s="159" t="s">
        <v>616</v>
      </c>
      <c r="C14" s="161">
        <v>50</v>
      </c>
      <c r="D14" s="161">
        <v>50</v>
      </c>
      <c r="E14" s="161">
        <v>100</v>
      </c>
      <c r="F14" s="161">
        <v>200</v>
      </c>
      <c r="G14" s="161">
        <v>400</v>
      </c>
      <c r="H14" s="161">
        <v>700</v>
      </c>
      <c r="I14" s="161">
        <v>1500</v>
      </c>
      <c r="J14" s="161">
        <v>1800</v>
      </c>
      <c r="K14" s="161" t="s">
        <v>365</v>
      </c>
      <c r="L14" s="161" t="s">
        <v>365</v>
      </c>
      <c r="M14" s="161" t="s">
        <v>365</v>
      </c>
      <c r="N14" s="159">
        <v>16</v>
      </c>
      <c r="O14" s="159">
        <v>5</v>
      </c>
      <c r="P14" s="159">
        <v>50</v>
      </c>
      <c r="Q14" s="166">
        <v>4</v>
      </c>
      <c r="R14" s="166" t="s">
        <v>372</v>
      </c>
      <c r="S14" s="166" t="s">
        <v>374</v>
      </c>
      <c r="T14" s="166" t="s">
        <v>377</v>
      </c>
      <c r="AC14" s="159">
        <f t="shared" si="0"/>
        <v>50</v>
      </c>
      <c r="AD14" s="159">
        <f>IF(D14="-","BadRank",SUM($C14:D14))</f>
        <v>100</v>
      </c>
      <c r="AE14" s="159">
        <f>IF(E14="-","BadRank",SUM($C14:E14))</f>
        <v>200</v>
      </c>
      <c r="AF14" s="159">
        <f>IF(F14="-","BadRank",SUM($C14:F14))</f>
        <v>400</v>
      </c>
      <c r="AG14" s="159">
        <f>IF(G14="-","BadRank",SUM($C14:G14))</f>
        <v>800</v>
      </c>
      <c r="AH14" s="159">
        <f>IF(H14="-","BadRank",SUM($C14:H14))</f>
        <v>1500</v>
      </c>
      <c r="AI14" s="159">
        <f>IF(I14="-","BadRank",SUM($C14:I14))</f>
        <v>3000</v>
      </c>
      <c r="AJ14" s="159">
        <f>IF(J14="-","BadRank",SUM($C14:J14))</f>
        <v>4800</v>
      </c>
      <c r="AK14" s="159" t="str">
        <f>IF(K14="-","BadRank",SUM($C14:K14))</f>
        <v>BadRank</v>
      </c>
      <c r="AL14" s="159" t="str">
        <f>IF(L14="-","BadRank",SUM($C14:L14))</f>
        <v>BadRank</v>
      </c>
      <c r="AM14" s="159" t="str">
        <f>IF(M14="-","BadRank",SUM($C14:M14))</f>
        <v>BadRank</v>
      </c>
    </row>
    <row r="15" spans="2:39" s="159" customFormat="1" ht="15">
      <c r="B15" s="159" t="s">
        <v>617</v>
      </c>
      <c r="C15" s="161">
        <v>50</v>
      </c>
      <c r="D15" s="161">
        <v>50</v>
      </c>
      <c r="E15" s="161">
        <v>100</v>
      </c>
      <c r="F15" s="161">
        <v>200</v>
      </c>
      <c r="G15" s="161">
        <v>400</v>
      </c>
      <c r="H15" s="161">
        <v>700</v>
      </c>
      <c r="I15" s="161" t="s">
        <v>365</v>
      </c>
      <c r="J15" s="161" t="s">
        <v>365</v>
      </c>
      <c r="K15" s="161" t="s">
        <v>365</v>
      </c>
      <c r="L15" s="161" t="s">
        <v>365</v>
      </c>
      <c r="M15" s="161" t="s">
        <v>365</v>
      </c>
      <c r="N15" s="159">
        <v>22</v>
      </c>
      <c r="O15" s="159">
        <v>9</v>
      </c>
      <c r="P15" s="159">
        <v>55</v>
      </c>
      <c r="Q15" s="166">
        <v>7</v>
      </c>
      <c r="R15" s="166" t="s">
        <v>372</v>
      </c>
      <c r="S15" s="166" t="s">
        <v>374</v>
      </c>
      <c r="T15" s="166" t="s">
        <v>377</v>
      </c>
      <c r="AC15" s="159">
        <f t="shared" si="0"/>
        <v>50</v>
      </c>
      <c r="AD15" s="159">
        <f>IF(D15="-","BadRank",SUM($C15:D15))</f>
        <v>100</v>
      </c>
      <c r="AE15" s="159">
        <f>IF(E15="-","BadRank",SUM($C15:E15))</f>
        <v>200</v>
      </c>
      <c r="AF15" s="159">
        <f>IF(F15="-","BadRank",SUM($C15:F15))</f>
        <v>400</v>
      </c>
      <c r="AG15" s="159">
        <f>IF(G15="-","BadRank",SUM($C15:G15))</f>
        <v>800</v>
      </c>
      <c r="AH15" s="159">
        <f>IF(H15="-","BadRank",SUM($C15:H15))</f>
        <v>1500</v>
      </c>
      <c r="AI15" s="159" t="str">
        <f>IF(I15="-","BadRank",SUM($C15:I15))</f>
        <v>BadRank</v>
      </c>
      <c r="AJ15" s="159" t="str">
        <f>IF(J15="-","BadRank",SUM($C15:J15))</f>
        <v>BadRank</v>
      </c>
      <c r="AK15" s="159" t="str">
        <f>IF(K15="-","BadRank",SUM($C15:K15))</f>
        <v>BadRank</v>
      </c>
      <c r="AL15" s="159" t="str">
        <f>IF(L15="-","BadRank",SUM($C15:L15))</f>
        <v>BadRank</v>
      </c>
      <c r="AM15" s="159" t="str">
        <f>IF(M15="-","BadRank",SUM($C15:M15))</f>
        <v>BadRank</v>
      </c>
    </row>
    <row r="16" spans="14:39" ht="15">
      <c r="N16"/>
      <c r="O16"/>
      <c r="P16"/>
      <c r="Q16" s="165"/>
      <c r="R16" s="165"/>
      <c r="S16" s="165"/>
      <c r="T16" s="165"/>
      <c r="U16"/>
      <c r="V16"/>
      <c r="AA16"/>
      <c r="AB16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</row>
    <row r="17" spans="1:39" ht="15">
      <c r="A17" s="158" t="s">
        <v>619</v>
      </c>
      <c r="N17"/>
      <c r="O17"/>
      <c r="P17"/>
      <c r="Q17" s="165"/>
      <c r="R17" s="165"/>
      <c r="S17" s="165"/>
      <c r="T17" s="165"/>
      <c r="U17"/>
      <c r="V17"/>
      <c r="AA17"/>
      <c r="AB17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</row>
    <row r="18" spans="2:39" s="159" customFormat="1" ht="15">
      <c r="B18" s="159" t="s">
        <v>620</v>
      </c>
      <c r="C18" s="161">
        <v>100</v>
      </c>
      <c r="D18" s="161">
        <v>100</v>
      </c>
      <c r="E18" s="161">
        <v>200</v>
      </c>
      <c r="F18" s="161">
        <v>500</v>
      </c>
      <c r="G18" s="161">
        <v>1500</v>
      </c>
      <c r="H18" s="161" t="s">
        <v>365</v>
      </c>
      <c r="I18" s="161" t="s">
        <v>365</v>
      </c>
      <c r="J18" s="161" t="s">
        <v>365</v>
      </c>
      <c r="K18" s="161" t="s">
        <v>365</v>
      </c>
      <c r="L18" s="161" t="s">
        <v>365</v>
      </c>
      <c r="M18" s="161" t="s">
        <v>365</v>
      </c>
      <c r="N18" s="159">
        <v>8</v>
      </c>
      <c r="O18" s="159">
        <v>2</v>
      </c>
      <c r="P18" s="159">
        <v>40</v>
      </c>
      <c r="Q18" s="166">
        <v>1</v>
      </c>
      <c r="R18" s="166" t="s">
        <v>372</v>
      </c>
      <c r="S18" s="166">
        <v>8</v>
      </c>
      <c r="T18" s="166" t="s">
        <v>375</v>
      </c>
      <c r="AC18" s="159">
        <f t="shared" si="0"/>
        <v>100</v>
      </c>
      <c r="AD18" s="159">
        <f>IF(D18="-","BadRank",SUM($C18:D18))</f>
        <v>200</v>
      </c>
      <c r="AE18" s="159">
        <f>IF(E18="-","BadRank",SUM($C18:E18))</f>
        <v>400</v>
      </c>
      <c r="AF18" s="159">
        <f>IF(F18="-","BadRank",SUM($C18:F18))</f>
        <v>900</v>
      </c>
      <c r="AG18" s="159">
        <f>IF(G18="-","BadRank",SUM($C18:G18))</f>
        <v>2400</v>
      </c>
      <c r="AH18" s="159" t="str">
        <f>IF(H18="-","BadRank",SUM($C18:H18))</f>
        <v>BadRank</v>
      </c>
      <c r="AI18" s="159" t="str">
        <f>IF(I18="-","BadRank",SUM($C18:I18))</f>
        <v>BadRank</v>
      </c>
      <c r="AJ18" s="159" t="str">
        <f>IF(J18="-","BadRank",SUM($C18:J18))</f>
        <v>BadRank</v>
      </c>
      <c r="AK18" s="159" t="str">
        <f>IF(K18="-","BadRank",SUM($C18:K18))</f>
        <v>BadRank</v>
      </c>
      <c r="AL18" s="159" t="str">
        <f>IF(L18="-","BadRank",SUM($C18:L18))</f>
        <v>BadRank</v>
      </c>
      <c r="AM18" s="159" t="str">
        <f>IF(M18="-","BadRank",SUM($C18:M18))</f>
        <v>BadRank</v>
      </c>
    </row>
    <row r="19" spans="2:39" s="159" customFormat="1" ht="15">
      <c r="B19" s="159" t="s">
        <v>621</v>
      </c>
      <c r="C19" s="161">
        <v>75</v>
      </c>
      <c r="D19" s="161">
        <v>75</v>
      </c>
      <c r="E19" s="161">
        <v>150</v>
      </c>
      <c r="F19" s="161">
        <v>200</v>
      </c>
      <c r="G19" s="161">
        <v>500</v>
      </c>
      <c r="H19" s="161">
        <v>100</v>
      </c>
      <c r="I19" s="161">
        <v>200</v>
      </c>
      <c r="J19" s="161">
        <v>400</v>
      </c>
      <c r="K19" s="161" t="s">
        <v>365</v>
      </c>
      <c r="L19" s="161" t="s">
        <v>365</v>
      </c>
      <c r="M19" s="161" t="s">
        <v>365</v>
      </c>
      <c r="N19" s="159">
        <v>14</v>
      </c>
      <c r="O19" s="159">
        <v>5</v>
      </c>
      <c r="P19" s="159">
        <v>60</v>
      </c>
      <c r="Q19" s="166">
        <v>4</v>
      </c>
      <c r="R19" s="166" t="s">
        <v>372</v>
      </c>
      <c r="S19" s="166">
        <v>6</v>
      </c>
      <c r="T19" s="166" t="s">
        <v>378</v>
      </c>
      <c r="AC19" s="159">
        <f t="shared" si="0"/>
        <v>75</v>
      </c>
      <c r="AD19" s="159">
        <f>IF(D19="-","BadRank",SUM($C19:D19))</f>
        <v>150</v>
      </c>
      <c r="AE19" s="159">
        <f>IF(E19="-","BadRank",SUM($C19:E19))</f>
        <v>300</v>
      </c>
      <c r="AF19" s="159">
        <f>IF(F19="-","BadRank",SUM($C19:F19))</f>
        <v>500</v>
      </c>
      <c r="AG19" s="159">
        <f>IF(G19="-","BadRank",SUM($C19:G19))</f>
        <v>1000</v>
      </c>
      <c r="AH19" s="159">
        <f>IF(H19="-","BadRank",SUM($C19:H19))</f>
        <v>1100</v>
      </c>
      <c r="AI19" s="159">
        <f>IF(I19="-","BadRank",SUM($C19:I19))</f>
        <v>1300</v>
      </c>
      <c r="AJ19" s="159">
        <f>IF(J19="-","BadRank",SUM($C19:J19))</f>
        <v>1700</v>
      </c>
      <c r="AK19" s="159" t="str">
        <f>IF(K19="-","BadRank",SUM($C19:K19))</f>
        <v>BadRank</v>
      </c>
      <c r="AL19" s="159" t="str">
        <f>IF(L19="-","BadRank",SUM($C19:L19))</f>
        <v>BadRank</v>
      </c>
      <c r="AM19" s="159" t="str">
        <f>IF(M19="-","BadRank",SUM($C19:M19))</f>
        <v>BadRank</v>
      </c>
    </row>
    <row r="20" spans="2:39" s="159" customFormat="1" ht="15">
      <c r="B20" s="159" t="s">
        <v>386</v>
      </c>
      <c r="C20" s="161">
        <v>75</v>
      </c>
      <c r="D20" s="161">
        <v>75</v>
      </c>
      <c r="E20" s="161">
        <v>150</v>
      </c>
      <c r="F20" s="161">
        <v>200</v>
      </c>
      <c r="G20" s="161">
        <v>500</v>
      </c>
      <c r="H20" s="161">
        <v>100</v>
      </c>
      <c r="I20" s="161">
        <v>200</v>
      </c>
      <c r="J20" s="161">
        <v>400</v>
      </c>
      <c r="K20" s="161" t="s">
        <v>365</v>
      </c>
      <c r="L20" s="161" t="s">
        <v>365</v>
      </c>
      <c r="M20" s="161" t="s">
        <v>365</v>
      </c>
      <c r="N20" s="159">
        <v>29</v>
      </c>
      <c r="O20" s="159">
        <v>25</v>
      </c>
      <c r="P20" s="159">
        <v>65</v>
      </c>
      <c r="Q20" s="166">
        <v>10</v>
      </c>
      <c r="R20" s="166" t="s">
        <v>372</v>
      </c>
      <c r="S20" s="166">
        <v>6</v>
      </c>
      <c r="T20" s="166" t="s">
        <v>378</v>
      </c>
      <c r="AC20" s="159">
        <f t="shared" si="0"/>
        <v>75</v>
      </c>
      <c r="AD20" s="159">
        <f>IF(D20="-","BadRank",SUM($C20:D20))</f>
        <v>150</v>
      </c>
      <c r="AE20" s="159">
        <f>IF(E20="-","BadRank",SUM($C20:E20))</f>
        <v>300</v>
      </c>
      <c r="AF20" s="159">
        <f>IF(F20="-","BadRank",SUM($C20:F20))</f>
        <v>500</v>
      </c>
      <c r="AG20" s="159">
        <f>IF(G20="-","BadRank",SUM($C20:G20))</f>
        <v>1000</v>
      </c>
      <c r="AH20" s="159">
        <f>IF(H20="-","BadRank",SUM($C20:H20))</f>
        <v>1100</v>
      </c>
      <c r="AI20" s="159">
        <f>IF(I20="-","BadRank",SUM($C20:I20))</f>
        <v>1300</v>
      </c>
      <c r="AJ20" s="159">
        <f>IF(J20="-","BadRank",SUM($C20:J20))</f>
        <v>1700</v>
      </c>
      <c r="AK20" s="159" t="str">
        <f>IF(K20="-","BadRank",SUM($C20:K20))</f>
        <v>BadRank</v>
      </c>
      <c r="AL20" s="159" t="str">
        <f>IF(L20="-","BadRank",SUM($C20:L20))</f>
        <v>BadRank</v>
      </c>
      <c r="AM20" s="159" t="str">
        <f>IF(M20="-","BadRank",SUM($C20:M20))</f>
        <v>BadRank</v>
      </c>
    </row>
    <row r="21" spans="2:39" ht="15">
      <c r="B21" t="s">
        <v>387</v>
      </c>
      <c r="C21" s="130">
        <v>150</v>
      </c>
      <c r="D21" s="130">
        <v>50</v>
      </c>
      <c r="E21" s="130">
        <v>100</v>
      </c>
      <c r="F21" s="130">
        <v>200</v>
      </c>
      <c r="G21" s="130">
        <v>500</v>
      </c>
      <c r="H21" s="130">
        <v>1000</v>
      </c>
      <c r="I21" s="130">
        <v>3000</v>
      </c>
      <c r="J21" s="130">
        <v>5000</v>
      </c>
      <c r="K21" s="130" t="s">
        <v>365</v>
      </c>
      <c r="L21" s="130" t="s">
        <v>365</v>
      </c>
      <c r="M21" s="130" t="s">
        <v>365</v>
      </c>
      <c r="N21">
        <v>19</v>
      </c>
      <c r="O21">
        <v>6</v>
      </c>
      <c r="P21">
        <v>65</v>
      </c>
      <c r="Q21" s="165">
        <v>6</v>
      </c>
      <c r="R21" s="165" t="s">
        <v>372</v>
      </c>
      <c r="S21" s="165" t="s">
        <v>374</v>
      </c>
      <c r="T21" s="165" t="s">
        <v>377</v>
      </c>
      <c r="U21"/>
      <c r="V21"/>
      <c r="AA21"/>
      <c r="AB21"/>
      <c r="AC21" s="83">
        <f t="shared" si="0"/>
        <v>150</v>
      </c>
      <c r="AD21" s="83">
        <f>IF(D21="-","BadRank",SUM($C21:D21))</f>
        <v>200</v>
      </c>
      <c r="AE21" s="83">
        <f>IF(E21="-","BadRank",SUM($C21:E21))</f>
        <v>300</v>
      </c>
      <c r="AF21" s="83">
        <f>IF(F21="-","BadRank",SUM($C21:F21))</f>
        <v>500</v>
      </c>
      <c r="AG21" s="83">
        <f>IF(G21="-","BadRank",SUM($C21:G21))</f>
        <v>1000</v>
      </c>
      <c r="AH21" s="83">
        <f>IF(H21="-","BadRank",SUM($C21:H21))</f>
        <v>2000</v>
      </c>
      <c r="AI21" s="83">
        <f>IF(I21="-","BadRank",SUM($C21:I21))</f>
        <v>5000</v>
      </c>
      <c r="AJ21" s="83">
        <f>IF(J21="-","BadRank",SUM($C21:J21))</f>
        <v>10000</v>
      </c>
      <c r="AK21" s="83" t="str">
        <f>IF(K21="-","BadRank",SUM($C21:K21))</f>
        <v>BadRank</v>
      </c>
      <c r="AL21" s="83" t="str">
        <f>IF(L21="-","BadRank",SUM($C21:L21))</f>
        <v>BadRank</v>
      </c>
      <c r="AM21" s="83" t="str">
        <f>IF(M21="-","BadRank",SUM($C21:M21))</f>
        <v>BadRank</v>
      </c>
    </row>
    <row r="22" spans="2:39" ht="15">
      <c r="B22" t="s">
        <v>388</v>
      </c>
      <c r="C22" s="130">
        <v>25</v>
      </c>
      <c r="D22" s="130">
        <v>25</v>
      </c>
      <c r="E22" s="130">
        <v>50</v>
      </c>
      <c r="F22" s="130" t="s">
        <v>365</v>
      </c>
      <c r="G22" s="130" t="s">
        <v>365</v>
      </c>
      <c r="H22" s="130" t="s">
        <v>365</v>
      </c>
      <c r="I22" s="130" t="s">
        <v>365</v>
      </c>
      <c r="J22" s="130" t="s">
        <v>365</v>
      </c>
      <c r="K22" s="130" t="s">
        <v>365</v>
      </c>
      <c r="L22" s="130" t="s">
        <v>365</v>
      </c>
      <c r="M22" s="130" t="s">
        <v>365</v>
      </c>
      <c r="N22">
        <v>16</v>
      </c>
      <c r="O22">
        <v>4</v>
      </c>
      <c r="P22">
        <v>45</v>
      </c>
      <c r="Q22" s="165">
        <v>2</v>
      </c>
      <c r="R22" s="165" t="s">
        <v>373</v>
      </c>
      <c r="S22" s="165">
        <v>6</v>
      </c>
      <c r="T22" s="165" t="s">
        <v>378</v>
      </c>
      <c r="U22"/>
      <c r="V22"/>
      <c r="AA22"/>
      <c r="AB22"/>
      <c r="AC22" s="83">
        <f t="shared" si="0"/>
        <v>25</v>
      </c>
      <c r="AD22" s="83">
        <f>IF(D22="-","BadRank",SUM($C22:D22))</f>
        <v>50</v>
      </c>
      <c r="AE22" s="83">
        <f>IF(E22="-","BadRank",SUM($C22:E22))</f>
        <v>100</v>
      </c>
      <c r="AF22" s="83" t="str">
        <f>IF(F22="-","BadRank",SUM($C22:F22))</f>
        <v>BadRank</v>
      </c>
      <c r="AG22" s="83" t="str">
        <f>IF(G22="-","BadRank",SUM($C22:G22))</f>
        <v>BadRank</v>
      </c>
      <c r="AH22" s="83" t="str">
        <f>IF(H22="-","BadRank",SUM($C22:H22))</f>
        <v>BadRank</v>
      </c>
      <c r="AI22" s="83" t="str">
        <f>IF(I22="-","BadRank",SUM($C22:I22))</f>
        <v>BadRank</v>
      </c>
      <c r="AJ22" s="83" t="str">
        <f>IF(J22="-","BadRank",SUM($C22:J22))</f>
        <v>BadRank</v>
      </c>
      <c r="AK22" s="83" t="str">
        <f>IF(K22="-","BadRank",SUM($C22:K22))</f>
        <v>BadRank</v>
      </c>
      <c r="AL22" s="83" t="str">
        <f>IF(L22="-","BadRank",SUM($C22:L22))</f>
        <v>BadRank</v>
      </c>
      <c r="AM22" s="83" t="str">
        <f>IF(M22="-","BadRank",SUM($C22:M22))</f>
        <v>BadRank</v>
      </c>
    </row>
    <row r="23" spans="2:39" ht="15">
      <c r="B23" t="s">
        <v>389</v>
      </c>
      <c r="C23" s="130">
        <v>25</v>
      </c>
      <c r="D23" s="130">
        <v>75</v>
      </c>
      <c r="E23" s="130">
        <v>150</v>
      </c>
      <c r="F23" s="130">
        <v>300</v>
      </c>
      <c r="G23" s="130">
        <v>500</v>
      </c>
      <c r="H23" s="130">
        <v>700</v>
      </c>
      <c r="I23" s="130" t="s">
        <v>365</v>
      </c>
      <c r="J23" s="130" t="s">
        <v>365</v>
      </c>
      <c r="K23" s="130" t="s">
        <v>365</v>
      </c>
      <c r="L23" s="130" t="s">
        <v>365</v>
      </c>
      <c r="M23" s="130" t="s">
        <v>365</v>
      </c>
      <c r="N23">
        <v>14</v>
      </c>
      <c r="O23">
        <v>3</v>
      </c>
      <c r="P23">
        <v>50</v>
      </c>
      <c r="Q23" s="165">
        <v>2</v>
      </c>
      <c r="R23" s="165" t="s">
        <v>373</v>
      </c>
      <c r="S23" s="165">
        <v>7</v>
      </c>
      <c r="T23" s="165" t="s">
        <v>378</v>
      </c>
      <c r="U23"/>
      <c r="V23"/>
      <c r="AA23"/>
      <c r="AB23"/>
      <c r="AC23" s="83">
        <f t="shared" si="0"/>
        <v>25</v>
      </c>
      <c r="AD23" s="83">
        <f>IF(D23="-","BadRank",SUM($C23:D23))</f>
        <v>100</v>
      </c>
      <c r="AE23" s="83">
        <f>IF(E23="-","BadRank",SUM($C23:E23))</f>
        <v>250</v>
      </c>
      <c r="AF23" s="83">
        <f>IF(F23="-","BadRank",SUM($C23:F23))</f>
        <v>550</v>
      </c>
      <c r="AG23" s="83">
        <f>IF(G23="-","BadRank",SUM($C23:G23))</f>
        <v>1050</v>
      </c>
      <c r="AH23" s="83">
        <f>IF(H23="-","BadRank",SUM($C23:H23))</f>
        <v>1750</v>
      </c>
      <c r="AI23" s="83" t="str">
        <f>IF(I23="-","BadRank",SUM($C23:I23))</f>
        <v>BadRank</v>
      </c>
      <c r="AJ23" s="83" t="str">
        <f>IF(J23="-","BadRank",SUM($C23:J23))</f>
        <v>BadRank</v>
      </c>
      <c r="AK23" s="83" t="str">
        <f>IF(K23="-","BadRank",SUM($C23:K23))</f>
        <v>BadRank</v>
      </c>
      <c r="AL23" s="83" t="str">
        <f>IF(L23="-","BadRank",SUM($C23:L23))</f>
        <v>BadRank</v>
      </c>
      <c r="AM23" s="83" t="str">
        <f>IF(M23="-","BadRank",SUM($C23:M23))</f>
        <v>BadRank</v>
      </c>
    </row>
    <row r="24" spans="2:39" s="159" customFormat="1" ht="15">
      <c r="B24" s="159" t="s">
        <v>624</v>
      </c>
      <c r="C24" s="161">
        <v>25</v>
      </c>
      <c r="D24" s="161">
        <v>75</v>
      </c>
      <c r="E24" s="161">
        <v>150</v>
      </c>
      <c r="F24" s="161">
        <v>300</v>
      </c>
      <c r="G24" s="161">
        <v>500</v>
      </c>
      <c r="H24" s="161">
        <v>700</v>
      </c>
      <c r="I24" s="161" t="s">
        <v>365</v>
      </c>
      <c r="J24" s="161" t="s">
        <v>365</v>
      </c>
      <c r="K24" s="161" t="s">
        <v>365</v>
      </c>
      <c r="L24" s="161" t="s">
        <v>365</v>
      </c>
      <c r="M24" s="161" t="s">
        <v>365</v>
      </c>
      <c r="N24" s="159">
        <v>25</v>
      </c>
      <c r="O24" s="159">
        <v>10</v>
      </c>
      <c r="P24" s="159">
        <v>50</v>
      </c>
      <c r="Q24" s="166">
        <v>8</v>
      </c>
      <c r="R24" s="166" t="s">
        <v>373</v>
      </c>
      <c r="S24" s="166">
        <v>9</v>
      </c>
      <c r="T24" s="166" t="s">
        <v>378</v>
      </c>
      <c r="AC24" s="159">
        <f t="shared" si="0"/>
        <v>25</v>
      </c>
      <c r="AD24" s="159">
        <f>IF(D24="-","BadRank",SUM($C24:D24))</f>
        <v>100</v>
      </c>
      <c r="AE24" s="159">
        <f>IF(E24="-","BadRank",SUM($C24:E24))</f>
        <v>250</v>
      </c>
      <c r="AF24" s="159">
        <f>IF(F24="-","BadRank",SUM($C24:F24))</f>
        <v>550</v>
      </c>
      <c r="AG24" s="159">
        <f>IF(G24="-","BadRank",SUM($C24:G24))</f>
        <v>1050</v>
      </c>
      <c r="AH24" s="159">
        <f>IF(H24="-","BadRank",SUM($C24:H24))</f>
        <v>1750</v>
      </c>
      <c r="AI24" s="159" t="str">
        <f>IF(I24="-","BadRank",SUM($C24:I24))</f>
        <v>BadRank</v>
      </c>
      <c r="AJ24" s="159" t="str">
        <f>IF(J24="-","BadRank",SUM($C24:J24))</f>
        <v>BadRank</v>
      </c>
      <c r="AK24" s="159" t="str">
        <f>IF(K24="-","BadRank",SUM($C24:K24))</f>
        <v>BadRank</v>
      </c>
      <c r="AL24" s="159" t="str">
        <f>IF(L24="-","BadRank",SUM($C24:L24))</f>
        <v>BadRank</v>
      </c>
      <c r="AM24" s="159" t="str">
        <f>IF(M24="-","BadRank",SUM($C24:M24))</f>
        <v>BadRank</v>
      </c>
    </row>
    <row r="25" spans="2:39" s="159" customFormat="1" ht="15">
      <c r="B25" s="159" t="s">
        <v>625</v>
      </c>
      <c r="C25" s="161">
        <v>50</v>
      </c>
      <c r="D25" s="161">
        <v>50</v>
      </c>
      <c r="E25" s="161">
        <v>100</v>
      </c>
      <c r="F25" s="161">
        <v>200</v>
      </c>
      <c r="G25" s="161">
        <v>400</v>
      </c>
      <c r="H25" s="161">
        <v>700</v>
      </c>
      <c r="I25" s="161" t="s">
        <v>365</v>
      </c>
      <c r="J25" s="161" t="s">
        <v>365</v>
      </c>
      <c r="K25" s="161" t="s">
        <v>365</v>
      </c>
      <c r="L25" s="161" t="s">
        <v>365</v>
      </c>
      <c r="M25" s="161" t="s">
        <v>365</v>
      </c>
      <c r="N25" s="159">
        <v>16</v>
      </c>
      <c r="O25" s="159">
        <v>5</v>
      </c>
      <c r="P25" s="159">
        <v>50</v>
      </c>
      <c r="Q25" s="166">
        <v>4</v>
      </c>
      <c r="R25" s="166" t="s">
        <v>373</v>
      </c>
      <c r="S25" s="166">
        <v>5</v>
      </c>
      <c r="T25" s="166" t="s">
        <v>378</v>
      </c>
      <c r="AC25" s="159" t="e">
        <f>SUM(#REF!)</f>
        <v>#REF!</v>
      </c>
      <c r="AD25" s="159" t="e">
        <f>IF(#REF!="-","BadRank",SUM(#REF!))</f>
        <v>#REF!</v>
      </c>
      <c r="AE25" s="159" t="e">
        <f>IF(#REF!="-","BadRank",SUM(#REF!))</f>
        <v>#REF!</v>
      </c>
      <c r="AF25" s="159" t="e">
        <f>IF(#REF!="-","BadRank",SUM(#REF!))</f>
        <v>#REF!</v>
      </c>
      <c r="AG25" s="159" t="e">
        <f>IF(#REF!="-","BadRank",SUM(#REF!))</f>
        <v>#REF!</v>
      </c>
      <c r="AH25" s="159" t="e">
        <f>IF(#REF!="-","BadRank",SUM(#REF!))</f>
        <v>#REF!</v>
      </c>
      <c r="AI25" s="159" t="e">
        <f>IF(#REF!="-","BadRank",SUM(#REF!))</f>
        <v>#REF!</v>
      </c>
      <c r="AJ25" s="159" t="e">
        <f>IF(#REF!="-","BadRank",SUM(#REF!))</f>
        <v>#REF!</v>
      </c>
      <c r="AK25" s="159" t="e">
        <f>IF(#REF!="-","BadRank",SUM(#REF!))</f>
        <v>#REF!</v>
      </c>
      <c r="AL25" s="159" t="e">
        <f>IF(#REF!="-","BadRank",SUM(#REF!))</f>
        <v>#REF!</v>
      </c>
      <c r="AM25" s="159" t="e">
        <f>IF(#REF!="-","BadRank",SUM(#REF!))</f>
        <v>#REF!</v>
      </c>
    </row>
    <row r="26" spans="2:39" s="159" customFormat="1" ht="15">
      <c r="B26" s="159" t="s">
        <v>27</v>
      </c>
      <c r="C26" s="161">
        <v>50</v>
      </c>
      <c r="D26" s="161">
        <v>50</v>
      </c>
      <c r="E26" s="161">
        <v>100</v>
      </c>
      <c r="F26" s="161">
        <v>200</v>
      </c>
      <c r="G26" s="161">
        <v>400</v>
      </c>
      <c r="H26" s="161">
        <v>700</v>
      </c>
      <c r="I26" s="161" t="s">
        <v>365</v>
      </c>
      <c r="J26" s="161" t="s">
        <v>365</v>
      </c>
      <c r="K26" s="161" t="s">
        <v>365</v>
      </c>
      <c r="L26" s="161" t="s">
        <v>365</v>
      </c>
      <c r="M26" s="161" t="s">
        <v>365</v>
      </c>
      <c r="N26" s="159">
        <v>27</v>
      </c>
      <c r="O26" s="159">
        <v>25</v>
      </c>
      <c r="P26" s="159">
        <v>50</v>
      </c>
      <c r="Q26" s="166">
        <v>7</v>
      </c>
      <c r="R26" s="166" t="s">
        <v>373</v>
      </c>
      <c r="S26" s="166">
        <v>8</v>
      </c>
      <c r="T26" s="166" t="s">
        <v>378</v>
      </c>
      <c r="AC26" s="159">
        <f>SUM($C25)</f>
        <v>50</v>
      </c>
      <c r="AD26" s="159">
        <f>IF(D25="-","BadRank",SUM($C25:D25))</f>
        <v>100</v>
      </c>
      <c r="AE26" s="159">
        <f>IF(E25="-","BadRank",SUM($C25:E25))</f>
        <v>200</v>
      </c>
      <c r="AF26" s="159">
        <f>IF(F25="-","BadRank",SUM($C25:F25))</f>
        <v>400</v>
      </c>
      <c r="AG26" s="159">
        <f>IF(G25="-","BadRank",SUM($C25:G25))</f>
        <v>800</v>
      </c>
      <c r="AH26" s="159">
        <f>IF(H25="-","BadRank",SUM($C25:H25))</f>
        <v>1500</v>
      </c>
      <c r="AI26" s="159" t="str">
        <f>IF(I25="-","BadRank",SUM($C25:I25))</f>
        <v>BadRank</v>
      </c>
      <c r="AJ26" s="159" t="str">
        <f>IF(J25="-","BadRank",SUM($C25:J25))</f>
        <v>BadRank</v>
      </c>
      <c r="AK26" s="159" t="str">
        <f>IF(K25="-","BadRank",SUM($C25:K25))</f>
        <v>BadRank</v>
      </c>
      <c r="AL26" s="159" t="str">
        <f>IF(L25="-","BadRank",SUM($C25:L25))</f>
        <v>BadRank</v>
      </c>
      <c r="AM26" s="159" t="str">
        <f>IF(M25="-","BadRank",SUM($C25:M25))</f>
        <v>BadRank</v>
      </c>
    </row>
    <row r="27" spans="2:39" ht="15">
      <c r="B27" t="s">
        <v>28</v>
      </c>
      <c r="C27" s="130">
        <v>50</v>
      </c>
      <c r="D27" s="130">
        <v>50</v>
      </c>
      <c r="E27" s="130">
        <v>100</v>
      </c>
      <c r="F27" s="130">
        <v>200</v>
      </c>
      <c r="G27" s="130">
        <v>400</v>
      </c>
      <c r="H27" s="130">
        <v>700</v>
      </c>
      <c r="I27" s="130" t="s">
        <v>365</v>
      </c>
      <c r="J27" s="130" t="s">
        <v>365</v>
      </c>
      <c r="K27" s="130" t="s">
        <v>365</v>
      </c>
      <c r="L27" s="130" t="s">
        <v>365</v>
      </c>
      <c r="M27" s="130" t="s">
        <v>365</v>
      </c>
      <c r="N27">
        <v>15</v>
      </c>
      <c r="O27">
        <v>4</v>
      </c>
      <c r="P27">
        <v>45</v>
      </c>
      <c r="Q27" s="165">
        <v>3</v>
      </c>
      <c r="R27" s="165" t="s">
        <v>373</v>
      </c>
      <c r="S27" s="165">
        <v>6</v>
      </c>
      <c r="T27" s="165" t="s">
        <v>378</v>
      </c>
      <c r="U27"/>
      <c r="V27"/>
      <c r="AA27"/>
      <c r="AB27"/>
      <c r="AC27" s="83">
        <f t="shared" si="0"/>
        <v>50</v>
      </c>
      <c r="AD27" s="83">
        <f>IF(D27="-","BadRank",SUM($C27:D27))</f>
        <v>100</v>
      </c>
      <c r="AE27" s="83">
        <f>IF(E27="-","BadRank",SUM($C27:E27))</f>
        <v>200</v>
      </c>
      <c r="AF27" s="83">
        <f>IF(F27="-","BadRank",SUM($C27:F27))</f>
        <v>400</v>
      </c>
      <c r="AG27" s="83">
        <f>IF(G27="-","BadRank",SUM($C27:G27))</f>
        <v>800</v>
      </c>
      <c r="AH27" s="83">
        <f>IF(H27="-","BadRank",SUM($C27:H27))</f>
        <v>1500</v>
      </c>
      <c r="AI27" s="83" t="str">
        <f>IF(I27="-","BadRank",SUM($C27:I27))</f>
        <v>BadRank</v>
      </c>
      <c r="AJ27" s="83" t="str">
        <f>IF(J27="-","BadRank",SUM($C27:J27))</f>
        <v>BadRank</v>
      </c>
      <c r="AK27" s="83" t="str">
        <f>IF(K27="-","BadRank",SUM($C27:K27))</f>
        <v>BadRank</v>
      </c>
      <c r="AL27" s="83" t="str">
        <f>IF(L27="-","BadRank",SUM($C27:L27))</f>
        <v>BadRank</v>
      </c>
      <c r="AM27" s="83" t="str">
        <f>IF(M27="-","BadRank",SUM($C27:M27))</f>
        <v>BadRank</v>
      </c>
    </row>
    <row r="28" spans="2:39" ht="15">
      <c r="B28" t="s">
        <v>29</v>
      </c>
      <c r="C28" s="130">
        <v>75</v>
      </c>
      <c r="D28" s="130">
        <v>75</v>
      </c>
      <c r="E28" s="130">
        <v>150</v>
      </c>
      <c r="F28" s="130">
        <v>200</v>
      </c>
      <c r="G28" s="130">
        <v>500</v>
      </c>
      <c r="H28" s="130">
        <v>1000</v>
      </c>
      <c r="I28" s="130" t="s">
        <v>365</v>
      </c>
      <c r="J28" s="130" t="s">
        <v>365</v>
      </c>
      <c r="K28" s="130" t="s">
        <v>365</v>
      </c>
      <c r="L28" s="130" t="s">
        <v>365</v>
      </c>
      <c r="M28" s="130" t="s">
        <v>365</v>
      </c>
      <c r="N28">
        <v>17</v>
      </c>
      <c r="O28">
        <v>5</v>
      </c>
      <c r="P28">
        <v>45</v>
      </c>
      <c r="Q28" s="165">
        <v>4</v>
      </c>
      <c r="R28" s="165" t="s">
        <v>373</v>
      </c>
      <c r="S28" s="165" t="s">
        <v>374</v>
      </c>
      <c r="T28" s="165" t="s">
        <v>377</v>
      </c>
      <c r="U28"/>
      <c r="V28"/>
      <c r="AA28"/>
      <c r="AB28"/>
      <c r="AC28" s="83">
        <f t="shared" si="0"/>
        <v>75</v>
      </c>
      <c r="AD28" s="83">
        <f>IF(D28="-","BadRank",SUM($C28:D28))</f>
        <v>150</v>
      </c>
      <c r="AE28" s="83">
        <f>IF(E28="-","BadRank",SUM($C28:E28))</f>
        <v>300</v>
      </c>
      <c r="AF28" s="83">
        <f>IF(F28="-","BadRank",SUM($C28:F28))</f>
        <v>500</v>
      </c>
      <c r="AG28" s="83">
        <f>IF(G28="-","BadRank",SUM($C28:G28))</f>
        <v>1000</v>
      </c>
      <c r="AH28" s="83">
        <f>IF(H28="-","BadRank",SUM($C28:H28))</f>
        <v>2000</v>
      </c>
      <c r="AI28" s="83" t="str">
        <f>IF(I28="-","BadRank",SUM($C28:I28))</f>
        <v>BadRank</v>
      </c>
      <c r="AJ28" s="83" t="str">
        <f>IF(J28="-","BadRank",SUM($C28:J28))</f>
        <v>BadRank</v>
      </c>
      <c r="AK28" s="83" t="str">
        <f>IF(K28="-","BadRank",SUM($C28:K28))</f>
        <v>BadRank</v>
      </c>
      <c r="AL28" s="83" t="str">
        <f>IF(L28="-","BadRank",SUM($C28:L28))</f>
        <v>BadRank</v>
      </c>
      <c r="AM28" s="83" t="str">
        <f>IF(M28="-","BadRank",SUM($C28:M28))</f>
        <v>BadRank</v>
      </c>
    </row>
    <row r="29" spans="2:39" ht="15">
      <c r="B29" t="s">
        <v>30</v>
      </c>
      <c r="C29" s="130">
        <v>25</v>
      </c>
      <c r="D29" s="130">
        <v>25</v>
      </c>
      <c r="E29" s="130">
        <v>50</v>
      </c>
      <c r="F29" s="130">
        <v>100</v>
      </c>
      <c r="G29" s="130">
        <v>200</v>
      </c>
      <c r="H29" s="130">
        <v>400</v>
      </c>
      <c r="I29" s="130" t="s">
        <v>365</v>
      </c>
      <c r="J29" s="130" t="s">
        <v>365</v>
      </c>
      <c r="K29" s="130" t="s">
        <v>365</v>
      </c>
      <c r="L29" s="130" t="s">
        <v>365</v>
      </c>
      <c r="M29" s="130" t="s">
        <v>365</v>
      </c>
      <c r="N29">
        <v>14</v>
      </c>
      <c r="O29">
        <v>4</v>
      </c>
      <c r="P29">
        <v>50</v>
      </c>
      <c r="Q29" s="165">
        <v>2</v>
      </c>
      <c r="R29" s="165" t="s">
        <v>373</v>
      </c>
      <c r="S29" s="165" t="s">
        <v>374</v>
      </c>
      <c r="T29" s="165" t="s">
        <v>377</v>
      </c>
      <c r="U29"/>
      <c r="V29"/>
      <c r="AA29"/>
      <c r="AB29"/>
      <c r="AC29" s="83">
        <f t="shared" si="0"/>
        <v>25</v>
      </c>
      <c r="AD29" s="83">
        <f>IF(D29="-","BadRank",SUM($C29:D29))</f>
        <v>50</v>
      </c>
      <c r="AE29" s="83">
        <f>IF(E29="-","BadRank",SUM($C29:E29))</f>
        <v>100</v>
      </c>
      <c r="AF29" s="83">
        <f>IF(F29="-","BadRank",SUM($C29:F29))</f>
        <v>200</v>
      </c>
      <c r="AG29" s="83">
        <f>IF(G29="-","BadRank",SUM($C29:G29))</f>
        <v>400</v>
      </c>
      <c r="AH29" s="83">
        <f>IF(H29="-","BadRank",SUM($C29:H29))</f>
        <v>800</v>
      </c>
      <c r="AI29" s="83" t="str">
        <f>IF(I29="-","BadRank",SUM($C29:I29))</f>
        <v>BadRank</v>
      </c>
      <c r="AJ29" s="83" t="str">
        <f>IF(J29="-","BadRank",SUM($C29:J29))</f>
        <v>BadRank</v>
      </c>
      <c r="AK29" s="83" t="str">
        <f>IF(K29="-","BadRank",SUM($C29:K29))</f>
        <v>BadRank</v>
      </c>
      <c r="AL29" s="83" t="str">
        <f>IF(L29="-","BadRank",SUM($C29:L29))</f>
        <v>BadRank</v>
      </c>
      <c r="AM29" s="83" t="str">
        <f>IF(M29="-","BadRank",SUM($C29:M29))</f>
        <v>BadRank</v>
      </c>
    </row>
    <row r="30" spans="2:39" s="159" customFormat="1" ht="15">
      <c r="B30" s="159" t="s">
        <v>31</v>
      </c>
      <c r="C30" s="161">
        <v>100</v>
      </c>
      <c r="D30" s="161">
        <v>100</v>
      </c>
      <c r="E30" s="161">
        <v>200</v>
      </c>
      <c r="F30" s="161">
        <v>400</v>
      </c>
      <c r="G30" s="161">
        <v>700</v>
      </c>
      <c r="H30" s="161">
        <v>1800</v>
      </c>
      <c r="I30" s="161" t="s">
        <v>365</v>
      </c>
      <c r="J30" s="161" t="s">
        <v>365</v>
      </c>
      <c r="K30" s="161" t="s">
        <v>365</v>
      </c>
      <c r="L30" s="161" t="s">
        <v>365</v>
      </c>
      <c r="M30" s="161" t="s">
        <v>365</v>
      </c>
      <c r="N30" s="159">
        <v>18</v>
      </c>
      <c r="O30" s="159">
        <v>5</v>
      </c>
      <c r="P30" s="159">
        <v>60</v>
      </c>
      <c r="Q30" s="166">
        <v>4</v>
      </c>
      <c r="R30" s="166" t="s">
        <v>373</v>
      </c>
      <c r="S30" s="166" t="s">
        <v>374</v>
      </c>
      <c r="T30" s="166" t="s">
        <v>377</v>
      </c>
      <c r="AC30" s="159">
        <f t="shared" si="0"/>
        <v>100</v>
      </c>
      <c r="AD30" s="159">
        <f>IF(D30="-","BadRank",SUM($C30:D30))</f>
        <v>200</v>
      </c>
      <c r="AE30" s="159">
        <f>IF(E30="-","BadRank",SUM($C30:E30))</f>
        <v>400</v>
      </c>
      <c r="AF30" s="159">
        <f>IF(F30="-","BadRank",SUM($C30:F30))</f>
        <v>800</v>
      </c>
      <c r="AG30" s="159">
        <f>IF(G30="-","BadRank",SUM($C30:G30))</f>
        <v>1500</v>
      </c>
      <c r="AH30" s="159">
        <f>IF(H30="-","BadRank",SUM($C30:H30))</f>
        <v>3300</v>
      </c>
      <c r="AI30" s="159" t="str">
        <f>IF(I30="-","BadRank",SUM($C30:I30))</f>
        <v>BadRank</v>
      </c>
      <c r="AJ30" s="159" t="str">
        <f>IF(J30="-","BadRank",SUM($C30:J30))</f>
        <v>BadRank</v>
      </c>
      <c r="AK30" s="159" t="str">
        <f>IF(K30="-","BadRank",SUM($C30:K30))</f>
        <v>BadRank</v>
      </c>
      <c r="AL30" s="159" t="str">
        <f>IF(L30="-","BadRank",SUM($C30:L30))</f>
        <v>BadRank</v>
      </c>
      <c r="AM30" s="159" t="str">
        <f>IF(M30="-","BadRank",SUM($C30:M30))</f>
        <v>BadRank</v>
      </c>
    </row>
    <row r="31" spans="2:39" s="159" customFormat="1" ht="15">
      <c r="B31" s="159" t="s">
        <v>32</v>
      </c>
      <c r="C31" s="161">
        <v>50</v>
      </c>
      <c r="D31" s="161">
        <v>50</v>
      </c>
      <c r="E31" s="161">
        <v>100</v>
      </c>
      <c r="F31" s="161">
        <v>200</v>
      </c>
      <c r="G31" s="161">
        <v>400</v>
      </c>
      <c r="H31" s="161">
        <v>700</v>
      </c>
      <c r="I31" s="161" t="s">
        <v>365</v>
      </c>
      <c r="J31" s="161" t="s">
        <v>365</v>
      </c>
      <c r="K31" s="161" t="s">
        <v>365</v>
      </c>
      <c r="L31" s="161" t="s">
        <v>365</v>
      </c>
      <c r="M31" s="161" t="s">
        <v>365</v>
      </c>
      <c r="N31" s="159">
        <v>19</v>
      </c>
      <c r="O31" s="159">
        <v>6</v>
      </c>
      <c r="P31" s="159">
        <v>55</v>
      </c>
      <c r="Q31" s="166">
        <v>6</v>
      </c>
      <c r="R31" s="166" t="s">
        <v>373</v>
      </c>
      <c r="S31" s="166" t="s">
        <v>374</v>
      </c>
      <c r="T31" s="166" t="s">
        <v>377</v>
      </c>
      <c r="AC31" s="159">
        <f t="shared" si="0"/>
        <v>50</v>
      </c>
      <c r="AD31" s="159">
        <f>IF(D31="-","BadRank",SUM($C31:D31))</f>
        <v>100</v>
      </c>
      <c r="AE31" s="159">
        <f>IF(E31="-","BadRank",SUM($C31:E31))</f>
        <v>200</v>
      </c>
      <c r="AF31" s="159">
        <f>IF(F31="-","BadRank",SUM($C31:F31))</f>
        <v>400</v>
      </c>
      <c r="AG31" s="159">
        <f>IF(G31="-","BadRank",SUM($C31:G31))</f>
        <v>800</v>
      </c>
      <c r="AH31" s="159">
        <f>IF(H31="-","BadRank",SUM($C31:H31))</f>
        <v>1500</v>
      </c>
      <c r="AI31" s="159" t="str">
        <f>IF(I31="-","BadRank",SUM($C31:I31))</f>
        <v>BadRank</v>
      </c>
      <c r="AJ31" s="159" t="str">
        <f>IF(J31="-","BadRank",SUM($C31:J31))</f>
        <v>BadRank</v>
      </c>
      <c r="AK31" s="159" t="str">
        <f>IF(K31="-","BadRank",SUM($C31:K31))</f>
        <v>BadRank</v>
      </c>
      <c r="AL31" s="159" t="str">
        <f>IF(L31="-","BadRank",SUM($C31:L31))</f>
        <v>BadRank</v>
      </c>
      <c r="AM31" s="159" t="str">
        <f>IF(M31="-","BadRank",SUM($C31:M31))</f>
        <v>BadRank</v>
      </c>
    </row>
    <row r="32" spans="2:39" ht="15">
      <c r="B32" t="s">
        <v>34</v>
      </c>
      <c r="C32" s="130">
        <v>75</v>
      </c>
      <c r="D32" s="130">
        <v>75</v>
      </c>
      <c r="E32" s="130">
        <v>150</v>
      </c>
      <c r="F32" s="130">
        <v>200</v>
      </c>
      <c r="G32" s="130">
        <v>500</v>
      </c>
      <c r="H32" s="130">
        <v>1000</v>
      </c>
      <c r="I32" s="130">
        <v>2000</v>
      </c>
      <c r="J32" s="130">
        <v>4000</v>
      </c>
      <c r="K32" s="130">
        <v>4000</v>
      </c>
      <c r="L32" s="130">
        <v>3000</v>
      </c>
      <c r="M32" s="130" t="s">
        <v>365</v>
      </c>
      <c r="N32">
        <v>12</v>
      </c>
      <c r="O32">
        <v>3</v>
      </c>
      <c r="P32">
        <v>55</v>
      </c>
      <c r="Q32" s="165">
        <v>2</v>
      </c>
      <c r="R32" s="165" t="s">
        <v>373</v>
      </c>
      <c r="S32" s="165" t="s">
        <v>374</v>
      </c>
      <c r="T32" s="165" t="s">
        <v>377</v>
      </c>
      <c r="U32"/>
      <c r="V32"/>
      <c r="AA32"/>
      <c r="AB32"/>
      <c r="AC32" s="83">
        <f t="shared" si="0"/>
        <v>75</v>
      </c>
      <c r="AD32" s="83">
        <f>IF(D32="-","BadRank",SUM($C32:D32))</f>
        <v>150</v>
      </c>
      <c r="AE32" s="83">
        <f>IF(E32="-","BadRank",SUM($C32:E32))</f>
        <v>300</v>
      </c>
      <c r="AF32" s="83">
        <f>IF(F32="-","BadRank",SUM($C32:F32))</f>
        <v>500</v>
      </c>
      <c r="AG32" s="83">
        <f>IF(G32="-","BadRank",SUM($C32:G32))</f>
        <v>1000</v>
      </c>
      <c r="AH32" s="83">
        <f>IF(H32="-","BadRank",SUM($C32:H32))</f>
        <v>2000</v>
      </c>
      <c r="AI32" s="83">
        <f>IF(I32="-","BadRank",SUM($C32:I32))</f>
        <v>4000</v>
      </c>
      <c r="AJ32" s="83">
        <f>IF(J32="-","BadRank",SUM($C32:J32))</f>
        <v>8000</v>
      </c>
      <c r="AK32" s="83">
        <f>IF(K32="-","BadRank",SUM($C32:K32))</f>
        <v>12000</v>
      </c>
      <c r="AL32" s="83">
        <f>IF(L32="-","BadRank",SUM($C32:L32))</f>
        <v>15000</v>
      </c>
      <c r="AM32" s="83" t="str">
        <f>IF(M32="-","BadRank",SUM($C32:M32))</f>
        <v>BadRank</v>
      </c>
    </row>
    <row r="33" spans="2:39" ht="15">
      <c r="B33" t="s">
        <v>33</v>
      </c>
      <c r="C33" s="130">
        <v>25</v>
      </c>
      <c r="D33" s="130">
        <v>75</v>
      </c>
      <c r="E33" s="130">
        <v>150</v>
      </c>
      <c r="F33" s="130">
        <v>250</v>
      </c>
      <c r="G33" s="130" t="s">
        <v>365</v>
      </c>
      <c r="H33" s="130" t="s">
        <v>365</v>
      </c>
      <c r="I33" s="130" t="s">
        <v>365</v>
      </c>
      <c r="J33" s="130" t="s">
        <v>365</v>
      </c>
      <c r="K33" s="130" t="s">
        <v>365</v>
      </c>
      <c r="L33" s="130" t="s">
        <v>365</v>
      </c>
      <c r="M33" s="130" t="s">
        <v>365</v>
      </c>
      <c r="N33">
        <v>9</v>
      </c>
      <c r="O33">
        <v>1</v>
      </c>
      <c r="P33">
        <v>40</v>
      </c>
      <c r="Q33" s="165">
        <v>1</v>
      </c>
      <c r="R33" s="165" t="s">
        <v>373</v>
      </c>
      <c r="S33" s="165" t="s">
        <v>374</v>
      </c>
      <c r="T33" s="165" t="s">
        <v>376</v>
      </c>
      <c r="U33"/>
      <c r="V33"/>
      <c r="AA33"/>
      <c r="AB33"/>
      <c r="AC33" s="83">
        <f t="shared" si="0"/>
        <v>25</v>
      </c>
      <c r="AD33" s="83">
        <f>IF(D33="-","BadRank",SUM($C33:D33))</f>
        <v>100</v>
      </c>
      <c r="AE33" s="83">
        <f>IF(E33="-","BadRank",SUM($C33:E33))</f>
        <v>250</v>
      </c>
      <c r="AF33" s="83">
        <f>IF(F33="-","BadRank",SUM($C33:F33))</f>
        <v>500</v>
      </c>
      <c r="AG33" s="83" t="str">
        <f>IF(G33="-","BadRank",SUM($C33:G33))</f>
        <v>BadRank</v>
      </c>
      <c r="AH33" s="83" t="str">
        <f>IF(H33="-","BadRank",SUM($C33:H33))</f>
        <v>BadRank</v>
      </c>
      <c r="AI33" s="83" t="str">
        <f>IF(I33="-","BadRank",SUM($C33:I33))</f>
        <v>BadRank</v>
      </c>
      <c r="AJ33" s="83" t="str">
        <f>IF(J33="-","BadRank",SUM($C33:J33))</f>
        <v>BadRank</v>
      </c>
      <c r="AK33" s="83" t="str">
        <f>IF(K33="-","BadRank",SUM($C33:K33))</f>
        <v>BadRank</v>
      </c>
      <c r="AL33" s="83" t="str">
        <f>IF(L33="-","BadRank",SUM($C33:L33))</f>
        <v>BadRank</v>
      </c>
      <c r="AM33" s="83" t="str">
        <f>IF(M33="-","BadRank",SUM($C33:M33))</f>
        <v>BadRank</v>
      </c>
    </row>
    <row r="34" spans="14:39" ht="15">
      <c r="N34"/>
      <c r="O34"/>
      <c r="P34"/>
      <c r="Q34" s="165"/>
      <c r="R34" s="165"/>
      <c r="S34" s="165"/>
      <c r="T34" s="165"/>
      <c r="U34"/>
      <c r="V34"/>
      <c r="AA34"/>
      <c r="AB34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</row>
    <row r="35" spans="1:39" ht="15">
      <c r="A35" s="158" t="s">
        <v>35</v>
      </c>
      <c r="N35"/>
      <c r="O35"/>
      <c r="P35"/>
      <c r="Q35" s="165"/>
      <c r="R35" s="165"/>
      <c r="S35" s="165"/>
      <c r="T35" s="165"/>
      <c r="U35"/>
      <c r="V35"/>
      <c r="AA35"/>
      <c r="AB35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</row>
    <row r="36" spans="2:39" s="159" customFormat="1" ht="15">
      <c r="B36" s="159" t="s">
        <v>36</v>
      </c>
      <c r="C36" s="161">
        <v>50</v>
      </c>
      <c r="D36" s="161">
        <v>50</v>
      </c>
      <c r="E36" s="161">
        <v>100</v>
      </c>
      <c r="F36" s="161">
        <v>200</v>
      </c>
      <c r="G36" s="161">
        <v>400</v>
      </c>
      <c r="H36" s="161">
        <v>800</v>
      </c>
      <c r="I36" s="161">
        <v>1400</v>
      </c>
      <c r="J36" s="161">
        <v>2000</v>
      </c>
      <c r="K36" s="161">
        <v>2000</v>
      </c>
      <c r="L36" s="161">
        <v>2000</v>
      </c>
      <c r="M36" s="161">
        <v>3000</v>
      </c>
      <c r="N36" s="159">
        <v>12</v>
      </c>
      <c r="O36" s="159">
        <v>3</v>
      </c>
      <c r="P36" s="159">
        <v>45</v>
      </c>
      <c r="Q36" s="166">
        <v>2</v>
      </c>
      <c r="R36" s="166" t="s">
        <v>371</v>
      </c>
      <c r="S36" s="166">
        <v>12</v>
      </c>
      <c r="T36" s="166" t="s">
        <v>378</v>
      </c>
      <c r="AC36" s="159">
        <f t="shared" si="0"/>
        <v>50</v>
      </c>
      <c r="AD36" s="159">
        <f>IF(D36="-","BadRank",SUM($C36:D36))</f>
        <v>100</v>
      </c>
      <c r="AE36" s="159">
        <f>IF(E36="-","BadRank",SUM($C36:E36))</f>
        <v>200</v>
      </c>
      <c r="AF36" s="159">
        <f>IF(F36="-","BadRank",SUM($C36:F36))</f>
        <v>400</v>
      </c>
      <c r="AG36" s="159">
        <f>IF(G36="-","BadRank",SUM($C36:G36))</f>
        <v>800</v>
      </c>
      <c r="AH36" s="159">
        <f>IF(H36="-","BadRank",SUM($C36:H36))</f>
        <v>1600</v>
      </c>
      <c r="AI36" s="159">
        <f>IF(I36="-","BadRank",SUM($C36:I36))</f>
        <v>3000</v>
      </c>
      <c r="AJ36" s="159">
        <f>IF(J36="-","BadRank",SUM($C36:J36))</f>
        <v>5000</v>
      </c>
      <c r="AK36" s="159">
        <f>IF(K36="-","BadRank",SUM($C36:K36))</f>
        <v>7000</v>
      </c>
      <c r="AL36" s="159">
        <f>IF(L36="-","BadRank",SUM($C36:L36))</f>
        <v>9000</v>
      </c>
      <c r="AM36" s="159">
        <f>IF(M36="-","BadRank",SUM($C36:M36))</f>
        <v>12000</v>
      </c>
    </row>
    <row r="37" spans="2:39" s="159" customFormat="1" ht="15">
      <c r="B37" s="159" t="s">
        <v>37</v>
      </c>
      <c r="C37" s="161">
        <v>100</v>
      </c>
      <c r="D37" s="161">
        <v>100</v>
      </c>
      <c r="E37" s="161">
        <v>200</v>
      </c>
      <c r="F37" s="161">
        <v>400</v>
      </c>
      <c r="G37" s="161">
        <v>700</v>
      </c>
      <c r="H37" s="161">
        <v>1800</v>
      </c>
      <c r="I37" s="161" t="s">
        <v>365</v>
      </c>
      <c r="J37" s="161" t="s">
        <v>365</v>
      </c>
      <c r="K37" s="161" t="s">
        <v>365</v>
      </c>
      <c r="L37" s="161" t="s">
        <v>365</v>
      </c>
      <c r="M37" s="161" t="s">
        <v>365</v>
      </c>
      <c r="N37" s="159">
        <v>15</v>
      </c>
      <c r="O37" s="159">
        <v>5</v>
      </c>
      <c r="P37" s="159">
        <v>50</v>
      </c>
      <c r="Q37" s="166">
        <v>3</v>
      </c>
      <c r="R37" s="166" t="s">
        <v>371</v>
      </c>
      <c r="S37" s="166">
        <v>6</v>
      </c>
      <c r="T37" s="166" t="s">
        <v>378</v>
      </c>
      <c r="AC37" s="159">
        <f t="shared" si="0"/>
        <v>100</v>
      </c>
      <c r="AD37" s="159">
        <f>IF(D37="-","BadRank",SUM($C37:D37))</f>
        <v>200</v>
      </c>
      <c r="AE37" s="159">
        <f>IF(E37="-","BadRank",SUM($C37:E37))</f>
        <v>400</v>
      </c>
      <c r="AF37" s="159">
        <f>IF(F37="-","BadRank",SUM($C37:F37))</f>
        <v>800</v>
      </c>
      <c r="AG37" s="159">
        <f>IF(G37="-","BadRank",SUM($C37:G37))</f>
        <v>1500</v>
      </c>
      <c r="AH37" s="159">
        <f>IF(H37="-","BadRank",SUM($C37:H37))</f>
        <v>3300</v>
      </c>
      <c r="AI37" s="159" t="str">
        <f>IF(I37="-","BadRank",SUM($C37:I37))</f>
        <v>BadRank</v>
      </c>
      <c r="AJ37" s="159" t="str">
        <f>IF(J37="-","BadRank",SUM($C37:J37))</f>
        <v>BadRank</v>
      </c>
      <c r="AK37" s="159" t="str">
        <f>IF(K37="-","BadRank",SUM($C37:K37))</f>
        <v>BadRank</v>
      </c>
      <c r="AL37" s="159" t="str">
        <f>IF(L37="-","BadRank",SUM($C37:L37))</f>
        <v>BadRank</v>
      </c>
      <c r="AM37" s="159" t="str">
        <f>IF(M37="-","BadRank",SUM($C37:M37))</f>
        <v>BadRank</v>
      </c>
    </row>
    <row r="38" spans="2:39" s="159" customFormat="1" ht="15">
      <c r="B38" s="159" t="s">
        <v>38</v>
      </c>
      <c r="C38" s="161">
        <v>100</v>
      </c>
      <c r="D38" s="161">
        <v>100</v>
      </c>
      <c r="E38" s="161">
        <v>200</v>
      </c>
      <c r="F38" s="161">
        <v>400</v>
      </c>
      <c r="G38" s="161">
        <v>700</v>
      </c>
      <c r="H38" s="161">
        <v>1800</v>
      </c>
      <c r="I38" s="161" t="s">
        <v>365</v>
      </c>
      <c r="J38" s="161" t="s">
        <v>365</v>
      </c>
      <c r="K38" s="161" t="s">
        <v>365</v>
      </c>
      <c r="L38" s="161" t="s">
        <v>365</v>
      </c>
      <c r="M38" s="161" t="s">
        <v>365</v>
      </c>
      <c r="N38" s="159">
        <v>22</v>
      </c>
      <c r="O38" s="159">
        <v>15</v>
      </c>
      <c r="P38" s="159">
        <v>55</v>
      </c>
      <c r="Q38" s="166">
        <v>7</v>
      </c>
      <c r="R38" s="166" t="s">
        <v>371</v>
      </c>
      <c r="S38" s="166">
        <v>12</v>
      </c>
      <c r="T38" s="166" t="s">
        <v>378</v>
      </c>
      <c r="AC38" s="159">
        <f t="shared" si="0"/>
        <v>100</v>
      </c>
      <c r="AD38" s="159">
        <f>IF(D38="-","BadRank",SUM($C38:D38))</f>
        <v>200</v>
      </c>
      <c r="AE38" s="159">
        <f>IF(E38="-","BadRank",SUM($C38:E38))</f>
        <v>400</v>
      </c>
      <c r="AF38" s="159">
        <f>IF(F38="-","BadRank",SUM($C38:F38))</f>
        <v>800</v>
      </c>
      <c r="AG38" s="159">
        <f>IF(G38="-","BadRank",SUM($C38:G38))</f>
        <v>1500</v>
      </c>
      <c r="AH38" s="159">
        <f>IF(H38="-","BadRank",SUM($C38:H38))</f>
        <v>3300</v>
      </c>
      <c r="AI38" s="159" t="str">
        <f>IF(I38="-","BadRank",SUM($C38:I38))</f>
        <v>BadRank</v>
      </c>
      <c r="AJ38" s="159" t="str">
        <f>IF(J38="-","BadRank",SUM($C38:J38))</f>
        <v>BadRank</v>
      </c>
      <c r="AK38" s="159" t="str">
        <f>IF(K38="-","BadRank",SUM($C38:K38))</f>
        <v>BadRank</v>
      </c>
      <c r="AL38" s="159" t="str">
        <f>IF(L38="-","BadRank",SUM($C38:L38))</f>
        <v>BadRank</v>
      </c>
      <c r="AM38" s="159" t="str">
        <f>IF(M38="-","BadRank",SUM($C38:M38))</f>
        <v>BadRank</v>
      </c>
    </row>
    <row r="39" spans="2:39" ht="15">
      <c r="B39" t="s">
        <v>39</v>
      </c>
      <c r="C39" s="130">
        <v>200</v>
      </c>
      <c r="D39" s="130">
        <v>200</v>
      </c>
      <c r="E39" s="130">
        <v>400</v>
      </c>
      <c r="F39" s="130">
        <v>700</v>
      </c>
      <c r="G39" s="130">
        <v>1500</v>
      </c>
      <c r="H39" s="130">
        <v>3000</v>
      </c>
      <c r="I39" s="130" t="s">
        <v>365</v>
      </c>
      <c r="J39" s="130" t="s">
        <v>365</v>
      </c>
      <c r="K39" s="130" t="s">
        <v>365</v>
      </c>
      <c r="L39" s="130" t="s">
        <v>365</v>
      </c>
      <c r="M39" s="130" t="s">
        <v>365</v>
      </c>
      <c r="N39">
        <v>18</v>
      </c>
      <c r="O39">
        <v>8</v>
      </c>
      <c r="P39">
        <v>45</v>
      </c>
      <c r="Q39" s="165">
        <v>5</v>
      </c>
      <c r="R39" s="165" t="s">
        <v>371</v>
      </c>
      <c r="S39" s="165" t="s">
        <v>374</v>
      </c>
      <c r="T39" s="165" t="s">
        <v>377</v>
      </c>
      <c r="U39"/>
      <c r="V39"/>
      <c r="AA39"/>
      <c r="AB39"/>
      <c r="AC39" s="83">
        <f t="shared" si="0"/>
        <v>200</v>
      </c>
      <c r="AD39" s="83">
        <f>IF(D39="-","BadRank",SUM($C39:D39))</f>
        <v>400</v>
      </c>
      <c r="AE39" s="83">
        <f>IF(E39="-","BadRank",SUM($C39:E39))</f>
        <v>800</v>
      </c>
      <c r="AF39" s="83" t="e">
        <f>IF(#REF!="-","BadRank",SUM($C39:E39))</f>
        <v>#REF!</v>
      </c>
      <c r="AG39" s="83">
        <f>IF(F39="-","BadRank",SUM($C39:F39))</f>
        <v>1500</v>
      </c>
      <c r="AH39" s="83">
        <f>IF(G39="-","BadRank",SUM($C39:G39))</f>
        <v>3000</v>
      </c>
      <c r="AI39" s="83">
        <f>IF(H39="-","BadRank",SUM($C39:H39))</f>
        <v>6000</v>
      </c>
      <c r="AJ39" s="83" t="str">
        <f>IF(I39="-","BadRank",SUM($C39:I39))</f>
        <v>BadRank</v>
      </c>
      <c r="AK39" s="83" t="str">
        <f>IF(J39="-","BadRank",SUM($C39:J39))</f>
        <v>BadRank</v>
      </c>
      <c r="AL39" s="83" t="str">
        <f>IF(K39="-","BadRank",SUM($C39:K39))</f>
        <v>BadRank</v>
      </c>
      <c r="AM39" s="83" t="str">
        <f>IF(L39="-","BadRank",SUM($C39:L39))</f>
        <v>BadRank</v>
      </c>
    </row>
    <row r="40" spans="2:39" ht="15">
      <c r="B40" t="s">
        <v>40</v>
      </c>
      <c r="C40" s="130">
        <v>250</v>
      </c>
      <c r="D40" s="130">
        <v>400</v>
      </c>
      <c r="E40" s="130">
        <v>700</v>
      </c>
      <c r="F40" s="130">
        <v>1000</v>
      </c>
      <c r="G40" s="130">
        <v>1700</v>
      </c>
      <c r="H40" s="130">
        <v>3500</v>
      </c>
      <c r="I40" s="130" t="s">
        <v>365</v>
      </c>
      <c r="J40" s="130" t="s">
        <v>365</v>
      </c>
      <c r="K40" s="130" t="s">
        <v>365</v>
      </c>
      <c r="L40" s="130" t="s">
        <v>365</v>
      </c>
      <c r="M40" s="130" t="s">
        <v>365</v>
      </c>
      <c r="N40">
        <v>16</v>
      </c>
      <c r="O40">
        <v>7</v>
      </c>
      <c r="P40">
        <v>45</v>
      </c>
      <c r="Q40" s="165">
        <v>6</v>
      </c>
      <c r="R40" s="165" t="s">
        <v>371</v>
      </c>
      <c r="S40" s="165" t="s">
        <v>374</v>
      </c>
      <c r="T40" s="165" t="s">
        <v>377</v>
      </c>
      <c r="U40"/>
      <c r="V40"/>
      <c r="AA40"/>
      <c r="AB40"/>
      <c r="AC40" s="83">
        <f t="shared" si="0"/>
        <v>250</v>
      </c>
      <c r="AD40" s="83">
        <f>IF(D40="-","BadRank",SUM($C40:D40))</f>
        <v>650</v>
      </c>
      <c r="AE40" s="83">
        <f>IF(E40="-","BadRank",SUM($C40:E40))</f>
        <v>1350</v>
      </c>
      <c r="AF40" s="83">
        <f>IF(F40="-","BadRank",SUM($C40:F40))</f>
        <v>2350</v>
      </c>
      <c r="AG40" s="83">
        <f>IF(G40="-","BadRank",SUM($C40:G40))</f>
        <v>4050</v>
      </c>
      <c r="AH40" s="83">
        <f>IF(H40="-","BadRank",SUM($C40:H40))</f>
        <v>7550</v>
      </c>
      <c r="AI40" s="83" t="str">
        <f>IF(I40="-","BadRank",SUM($C40:I40))</f>
        <v>BadRank</v>
      </c>
      <c r="AJ40" s="83" t="str">
        <f>IF(J40="-","BadRank",SUM($C40:J40))</f>
        <v>BadRank</v>
      </c>
      <c r="AK40" s="83" t="str">
        <f>IF(K40="-","BadRank",SUM($C40:K40))</f>
        <v>BadRank</v>
      </c>
      <c r="AL40" s="83" t="str">
        <f>IF(L40="-","BadRank",SUM($C40:L40))</f>
        <v>BadRank</v>
      </c>
      <c r="AM40" s="83" t="str">
        <f>IF(M40="-","BadRank",SUM($C40:M40))</f>
        <v>BadRank</v>
      </c>
    </row>
    <row r="41" spans="2:39" ht="15">
      <c r="B41" t="s">
        <v>41</v>
      </c>
      <c r="C41" s="130">
        <v>100</v>
      </c>
      <c r="D41" s="130">
        <v>100</v>
      </c>
      <c r="E41" s="130">
        <v>200</v>
      </c>
      <c r="F41" s="130">
        <v>400</v>
      </c>
      <c r="G41" s="130">
        <v>700</v>
      </c>
      <c r="H41" s="130">
        <v>1500</v>
      </c>
      <c r="I41" s="130" t="s">
        <v>365</v>
      </c>
      <c r="J41" s="130" t="s">
        <v>365</v>
      </c>
      <c r="K41" s="130" t="s">
        <v>365</v>
      </c>
      <c r="L41" s="130" t="s">
        <v>365</v>
      </c>
      <c r="M41" s="130" t="s">
        <v>365</v>
      </c>
      <c r="N41">
        <v>16</v>
      </c>
      <c r="O41">
        <v>6</v>
      </c>
      <c r="P41">
        <v>55</v>
      </c>
      <c r="Q41" s="165">
        <v>3</v>
      </c>
      <c r="R41" s="165" t="s">
        <v>372</v>
      </c>
      <c r="S41" s="165" t="s">
        <v>374</v>
      </c>
      <c r="T41" s="165" t="s">
        <v>377</v>
      </c>
      <c r="U41"/>
      <c r="V41"/>
      <c r="AA41"/>
      <c r="AB41"/>
      <c r="AC41" s="83">
        <f t="shared" si="0"/>
        <v>100</v>
      </c>
      <c r="AD41" s="83">
        <f>IF(D41="-","BadRank",SUM($C41:D41))</f>
        <v>200</v>
      </c>
      <c r="AE41" s="83">
        <f>IF(E41="-","BadRank",SUM($C41:E41))</f>
        <v>400</v>
      </c>
      <c r="AF41" s="83">
        <f>IF(F41="-","BadRank",SUM($C41:F41))</f>
        <v>800</v>
      </c>
      <c r="AG41" s="83">
        <f>IF(G41="-","BadRank",SUM($C41:G41))</f>
        <v>1500</v>
      </c>
      <c r="AH41" s="83">
        <f>IF(H41="-","BadRank",SUM($C41:H41))</f>
        <v>3000</v>
      </c>
      <c r="AI41" s="83" t="str">
        <f>IF(I41="-","BadRank",SUM($C41:I41))</f>
        <v>BadRank</v>
      </c>
      <c r="AJ41" s="83" t="str">
        <f>IF(J41="-","BadRank",SUM($C41:J41))</f>
        <v>BadRank</v>
      </c>
      <c r="AK41" s="83" t="str">
        <f>IF(K41="-","BadRank",SUM($C41:K41))</f>
        <v>BadRank</v>
      </c>
      <c r="AL41" s="83" t="str">
        <f>IF(L41="-","BadRank",SUM($C41:L41))</f>
        <v>BadRank</v>
      </c>
      <c r="AM41" s="83" t="str">
        <f>IF(M41="-","BadRank",SUM($C41:M41))</f>
        <v>BadRank</v>
      </c>
    </row>
    <row r="42" spans="2:39" s="159" customFormat="1" ht="15">
      <c r="B42" s="159" t="s">
        <v>42</v>
      </c>
      <c r="C42" s="161">
        <v>100</v>
      </c>
      <c r="D42" s="161">
        <v>100</v>
      </c>
      <c r="E42" s="161">
        <v>200</v>
      </c>
      <c r="F42" s="161">
        <v>400</v>
      </c>
      <c r="G42" s="161">
        <v>700</v>
      </c>
      <c r="H42" s="161">
        <v>1500</v>
      </c>
      <c r="I42" s="161" t="s">
        <v>365</v>
      </c>
      <c r="J42" s="161" t="s">
        <v>365</v>
      </c>
      <c r="K42" s="161" t="s">
        <v>365</v>
      </c>
      <c r="L42" s="161" t="s">
        <v>365</v>
      </c>
      <c r="M42" s="161" t="s">
        <v>365</v>
      </c>
      <c r="N42" s="159">
        <v>18</v>
      </c>
      <c r="O42" s="159">
        <v>6</v>
      </c>
      <c r="P42" s="159">
        <v>55</v>
      </c>
      <c r="Q42" s="166">
        <v>4</v>
      </c>
      <c r="R42" s="166" t="s">
        <v>372</v>
      </c>
      <c r="S42" s="166" t="s">
        <v>374</v>
      </c>
      <c r="T42" s="166" t="s">
        <v>377</v>
      </c>
      <c r="AC42" s="159">
        <f t="shared" si="0"/>
        <v>100</v>
      </c>
      <c r="AD42" s="159">
        <f>IF(D42="-","BadRank",SUM($C42:D42))</f>
        <v>200</v>
      </c>
      <c r="AE42" s="159">
        <f>IF(E42="-","BadRank",SUM($C42:E42))</f>
        <v>400</v>
      </c>
      <c r="AF42" s="159">
        <f>IF(F42="-","BadRank",SUM($C42:F42))</f>
        <v>800</v>
      </c>
      <c r="AG42" s="159">
        <f>IF(G42="-","BadRank",SUM($C42:G42))</f>
        <v>1500</v>
      </c>
      <c r="AH42" s="159">
        <f>IF(H42="-","BadRank",SUM($C42:H42))</f>
        <v>3000</v>
      </c>
      <c r="AI42" s="159" t="str">
        <f>IF(I42="-","BadRank",SUM($C42:I42))</f>
        <v>BadRank</v>
      </c>
      <c r="AJ42" s="159" t="str">
        <f>IF(J42="-","BadRank",SUM($C42:J42))</f>
        <v>BadRank</v>
      </c>
      <c r="AK42" s="159" t="str">
        <f>IF(K42="-","BadRank",SUM($C42:K42))</f>
        <v>BadRank</v>
      </c>
      <c r="AL42" s="159" t="str">
        <f>IF(L42="-","BadRank",SUM($C42:L42))</f>
        <v>BadRank</v>
      </c>
      <c r="AM42" s="159" t="str">
        <f>IF(M42="-","BadRank",SUM($C42:M42))</f>
        <v>BadRank</v>
      </c>
    </row>
    <row r="43" spans="2:39" s="159" customFormat="1" ht="15">
      <c r="B43" s="159" t="s">
        <v>43</v>
      </c>
      <c r="C43" s="161">
        <v>200</v>
      </c>
      <c r="D43" s="161">
        <v>200</v>
      </c>
      <c r="E43" s="161">
        <v>400</v>
      </c>
      <c r="F43" s="161">
        <v>800</v>
      </c>
      <c r="G43" s="161">
        <v>1400</v>
      </c>
      <c r="H43" s="161">
        <v>3000</v>
      </c>
      <c r="I43" s="161" t="s">
        <v>365</v>
      </c>
      <c r="J43" s="161" t="s">
        <v>365</v>
      </c>
      <c r="K43" s="161" t="s">
        <v>365</v>
      </c>
      <c r="L43" s="161" t="s">
        <v>365</v>
      </c>
      <c r="M43" s="161" t="s">
        <v>365</v>
      </c>
      <c r="N43" s="159">
        <v>14</v>
      </c>
      <c r="O43" s="159">
        <v>5</v>
      </c>
      <c r="P43" s="159">
        <v>45</v>
      </c>
      <c r="Q43" s="166">
        <v>2</v>
      </c>
      <c r="R43" s="166" t="s">
        <v>371</v>
      </c>
      <c r="S43" s="166">
        <v>5</v>
      </c>
      <c r="T43" s="166" t="s">
        <v>377</v>
      </c>
      <c r="AC43" s="159">
        <f t="shared" si="0"/>
        <v>200</v>
      </c>
      <c r="AD43" s="159">
        <f>IF(D43="-","BadRank",SUM($C43:D43))</f>
        <v>400</v>
      </c>
      <c r="AE43" s="159">
        <f>IF(E43="-","BadRank",SUM($C43:E43))</f>
        <v>800</v>
      </c>
      <c r="AF43" s="159">
        <f>IF(F43="-","BadRank",SUM($C43:F43))</f>
        <v>1600</v>
      </c>
      <c r="AG43" s="159">
        <f>IF(G43="-","BadRank",SUM($C43:G43))</f>
        <v>3000</v>
      </c>
      <c r="AH43" s="159">
        <f>IF(H43="-","BadRank",SUM($C43:H43))</f>
        <v>6000</v>
      </c>
      <c r="AI43" s="159" t="str">
        <f>IF(I43="-","BadRank",SUM($C43:I43))</f>
        <v>BadRank</v>
      </c>
      <c r="AJ43" s="159" t="str">
        <f>IF(J43="-","BadRank",SUM($C43:J43))</f>
        <v>BadRank</v>
      </c>
      <c r="AK43" s="159" t="str">
        <f>IF(K43="-","BadRank",SUM($C43:K43))</f>
        <v>BadRank</v>
      </c>
      <c r="AL43" s="159" t="str">
        <f>IF(L43="-","BadRank",SUM($C43:L43))</f>
        <v>BadRank</v>
      </c>
      <c r="AM43" s="159" t="str">
        <f>IF(M43="-","BadRank",SUM($C43:M43))</f>
        <v>BadRank</v>
      </c>
    </row>
    <row r="44" spans="2:39" ht="15">
      <c r="B44" t="s">
        <v>44</v>
      </c>
      <c r="C44" s="130">
        <v>50</v>
      </c>
      <c r="D44" s="130">
        <v>50</v>
      </c>
      <c r="E44" s="130">
        <v>100</v>
      </c>
      <c r="F44" s="130">
        <v>200</v>
      </c>
      <c r="G44" s="130">
        <v>200</v>
      </c>
      <c r="H44" s="130">
        <v>200</v>
      </c>
      <c r="I44" s="130">
        <v>500</v>
      </c>
      <c r="J44" s="130">
        <v>800</v>
      </c>
      <c r="K44" s="130">
        <v>1500</v>
      </c>
      <c r="L44" s="130">
        <v>3000</v>
      </c>
      <c r="M44" s="130" t="s">
        <v>365</v>
      </c>
      <c r="N44">
        <v>16</v>
      </c>
      <c r="O44">
        <v>7</v>
      </c>
      <c r="P44">
        <v>55</v>
      </c>
      <c r="Q44" s="165">
        <v>5</v>
      </c>
      <c r="R44" s="165" t="s">
        <v>372</v>
      </c>
      <c r="S44" s="165" t="s">
        <v>374</v>
      </c>
      <c r="T44" s="165" t="s">
        <v>377</v>
      </c>
      <c r="U44"/>
      <c r="V44"/>
      <c r="AA44"/>
      <c r="AB44"/>
      <c r="AC44" s="83">
        <f t="shared" si="0"/>
        <v>50</v>
      </c>
      <c r="AD44" s="83">
        <f>IF(D44="-","BadRank",SUM($C44:D44))</f>
        <v>100</v>
      </c>
      <c r="AE44" s="83">
        <f>IF(E44="-","BadRank",SUM($C44:E44))</f>
        <v>200</v>
      </c>
      <c r="AF44" s="83">
        <f>IF(F44="-","BadRank",SUM($C44:F44))</f>
        <v>400</v>
      </c>
      <c r="AG44" s="83">
        <f>IF(G44="-","BadRank",SUM($C44:G44))</f>
        <v>600</v>
      </c>
      <c r="AH44" s="83">
        <f>IF(H44="-","BadRank",SUM($C44:H44))</f>
        <v>800</v>
      </c>
      <c r="AI44" s="83">
        <f>IF(I44="-","BadRank",SUM($C44:I44))</f>
        <v>1300</v>
      </c>
      <c r="AJ44" s="83">
        <f>IF(J44="-","BadRank",SUM($C44:J44))</f>
        <v>2100</v>
      </c>
      <c r="AK44" s="83">
        <f>IF(K44="-","BadRank",SUM($C44:K44))</f>
        <v>3600</v>
      </c>
      <c r="AL44" s="83">
        <f>IF(L44="-","BadRank",SUM($C44:L44))</f>
        <v>6600</v>
      </c>
      <c r="AM44" s="83" t="str">
        <f>IF(M44="-","BadRank",SUM($C44:M44))</f>
        <v>BadRank</v>
      </c>
    </row>
    <row r="45" spans="2:39" ht="15">
      <c r="B45" t="s">
        <v>45</v>
      </c>
      <c r="C45" s="130">
        <v>50</v>
      </c>
      <c r="D45" s="130">
        <v>50</v>
      </c>
      <c r="E45" s="130">
        <v>100</v>
      </c>
      <c r="F45" s="130">
        <v>200</v>
      </c>
      <c r="G45" s="130">
        <v>200</v>
      </c>
      <c r="H45" s="130">
        <v>200</v>
      </c>
      <c r="I45" s="130">
        <v>500</v>
      </c>
      <c r="J45" s="130">
        <v>800</v>
      </c>
      <c r="K45" s="130">
        <v>1500</v>
      </c>
      <c r="L45" s="130">
        <v>3000</v>
      </c>
      <c r="M45" s="130" t="s">
        <v>365</v>
      </c>
      <c r="N45">
        <v>22</v>
      </c>
      <c r="O45">
        <v>14</v>
      </c>
      <c r="P45">
        <v>65</v>
      </c>
      <c r="Q45" s="165">
        <v>9</v>
      </c>
      <c r="R45" s="165" t="s">
        <v>372</v>
      </c>
      <c r="S45" s="165" t="s">
        <v>374</v>
      </c>
      <c r="T45" s="165" t="s">
        <v>377</v>
      </c>
      <c r="U45"/>
      <c r="V45"/>
      <c r="AA45"/>
      <c r="AB45"/>
      <c r="AC45" s="83">
        <f t="shared" si="0"/>
        <v>50</v>
      </c>
      <c r="AD45" s="83">
        <f>IF(D45="-","BadRank",SUM($C45:D45))</f>
        <v>100</v>
      </c>
      <c r="AE45" s="83">
        <f>IF(E45="-","BadRank",SUM($C45:E45))</f>
        <v>200</v>
      </c>
      <c r="AF45" s="83">
        <f>IF(F45="-","BadRank",SUM($C45:F45))</f>
        <v>400</v>
      </c>
      <c r="AG45" s="83">
        <f>IF(G45="-","BadRank",SUM($C45:G45))</f>
        <v>600</v>
      </c>
      <c r="AH45" s="83">
        <f>IF(H45="-","BadRank",SUM($C45:H45))</f>
        <v>800</v>
      </c>
      <c r="AI45" s="83">
        <f>IF(I45="-","BadRank",SUM($C45:I45))</f>
        <v>1300</v>
      </c>
      <c r="AJ45" s="83">
        <f>IF(J45="-","BadRank",SUM($C45:J45))</f>
        <v>2100</v>
      </c>
      <c r="AK45" s="83">
        <f>IF(K45="-","BadRank",SUM($C45:K45))</f>
        <v>3600</v>
      </c>
      <c r="AL45" s="83">
        <f>IF(L45="-","BadRank",SUM($C45:L45))</f>
        <v>6600</v>
      </c>
      <c r="AM45" s="83" t="str">
        <f>IF(M45="-","BadRank",SUM($C45:M45))</f>
        <v>BadRank</v>
      </c>
    </row>
    <row r="46" spans="14:39" ht="15">
      <c r="N46"/>
      <c r="O46"/>
      <c r="P46"/>
      <c r="Q46" s="165"/>
      <c r="R46" s="165"/>
      <c r="S46" s="165"/>
      <c r="T46" s="165"/>
      <c r="U46"/>
      <c r="V46"/>
      <c r="AA46"/>
      <c r="AB46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</row>
    <row r="47" spans="1:39" ht="15">
      <c r="A47" s="158" t="s">
        <v>46</v>
      </c>
      <c r="N47"/>
      <c r="O47"/>
      <c r="P47"/>
      <c r="Q47" s="165"/>
      <c r="R47" s="165"/>
      <c r="S47" s="165"/>
      <c r="T47" s="165"/>
      <c r="U47"/>
      <c r="V47"/>
      <c r="AA47"/>
      <c r="AB47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</row>
    <row r="48" spans="2:39" s="159" customFormat="1" ht="15">
      <c r="B48" s="159" t="s">
        <v>47</v>
      </c>
      <c r="C48" s="161">
        <v>200</v>
      </c>
      <c r="D48" s="161">
        <v>200</v>
      </c>
      <c r="E48" s="161">
        <v>400</v>
      </c>
      <c r="F48" s="161">
        <v>700</v>
      </c>
      <c r="G48" s="161">
        <v>1500</v>
      </c>
      <c r="H48" s="161">
        <v>3000</v>
      </c>
      <c r="I48" s="161">
        <v>3000</v>
      </c>
      <c r="J48" s="161">
        <v>3000</v>
      </c>
      <c r="K48" s="161">
        <v>3000</v>
      </c>
      <c r="L48" s="161" t="s">
        <v>365</v>
      </c>
      <c r="M48" s="161" t="s">
        <v>365</v>
      </c>
      <c r="N48" s="159">
        <v>7</v>
      </c>
      <c r="O48" s="159">
        <v>1</v>
      </c>
      <c r="P48" s="159">
        <v>40</v>
      </c>
      <c r="Q48" s="166">
        <v>1</v>
      </c>
      <c r="R48" s="166" t="s">
        <v>373</v>
      </c>
      <c r="S48" s="166">
        <v>60</v>
      </c>
      <c r="T48" s="166" t="s">
        <v>379</v>
      </c>
      <c r="AC48" s="159">
        <f t="shared" si="0"/>
        <v>200</v>
      </c>
      <c r="AD48" s="159">
        <f>IF(D48="-","BadRank",SUM($C48:D48))</f>
        <v>400</v>
      </c>
      <c r="AE48" s="159">
        <f>IF(E48="-","BadRank",SUM($C48:E48))</f>
        <v>800</v>
      </c>
      <c r="AF48" s="159">
        <f>IF(F48="-","BadRank",SUM($C48:F48))</f>
        <v>1500</v>
      </c>
      <c r="AG48" s="159">
        <f>IF(G48="-","BadRank",SUM($C48:G48))</f>
        <v>3000</v>
      </c>
      <c r="AH48" s="159">
        <f>IF(H48="-","BadRank",SUM($C48:H48))</f>
        <v>6000</v>
      </c>
      <c r="AI48" s="159">
        <f>IF(I48="-","BadRank",SUM($C48:I48))</f>
        <v>9000</v>
      </c>
      <c r="AJ48" s="159">
        <f>IF(J48="-","BadRank",SUM($C48:J48))</f>
        <v>12000</v>
      </c>
      <c r="AK48" s="159">
        <f>IF(K48="-","BadRank",SUM($C48:K48))</f>
        <v>15000</v>
      </c>
      <c r="AL48" s="159" t="str">
        <f>IF(L48="-","BadRank",SUM($C48:L48))</f>
        <v>BadRank</v>
      </c>
      <c r="AM48" s="159" t="str">
        <f>IF(M48="-","BadRank",SUM($C48:M48))</f>
        <v>BadRank</v>
      </c>
    </row>
    <row r="49" spans="2:39" s="159" customFormat="1" ht="15">
      <c r="B49" s="159" t="s">
        <v>465</v>
      </c>
      <c r="C49" s="161">
        <v>100</v>
      </c>
      <c r="D49" s="161">
        <v>100</v>
      </c>
      <c r="E49" s="161">
        <v>200</v>
      </c>
      <c r="F49" s="161">
        <v>400</v>
      </c>
      <c r="G49" s="161">
        <v>700</v>
      </c>
      <c r="H49" s="161">
        <v>1500</v>
      </c>
      <c r="I49" s="161">
        <v>3000</v>
      </c>
      <c r="J49" s="161">
        <v>3000</v>
      </c>
      <c r="K49" s="161">
        <v>3000</v>
      </c>
      <c r="L49" s="161" t="s">
        <v>365</v>
      </c>
      <c r="M49" s="161" t="s">
        <v>365</v>
      </c>
      <c r="N49" s="159">
        <v>14</v>
      </c>
      <c r="O49" s="159">
        <v>4</v>
      </c>
      <c r="P49" s="159">
        <v>45</v>
      </c>
      <c r="Q49" s="166">
        <v>2</v>
      </c>
      <c r="R49" s="166" t="s">
        <v>371</v>
      </c>
      <c r="S49" s="166">
        <v>60</v>
      </c>
      <c r="T49" s="166" t="s">
        <v>379</v>
      </c>
      <c r="AC49" s="159">
        <f t="shared" si="0"/>
        <v>100</v>
      </c>
      <c r="AD49" s="159">
        <f>IF(D49="-","BadRank",SUM($C49:D49))</f>
        <v>200</v>
      </c>
      <c r="AE49" s="159">
        <f>IF(E49="-","BadRank",SUM($C49:E49))</f>
        <v>400</v>
      </c>
      <c r="AF49" s="159">
        <f>IF(F49="-","BadRank",SUM($C49:F49))</f>
        <v>800</v>
      </c>
      <c r="AG49" s="159">
        <f>IF(G49="-","BadRank",SUM($C49:G49))</f>
        <v>1500</v>
      </c>
      <c r="AH49" s="159">
        <f>IF(H49="-","BadRank",SUM($C49:H49))</f>
        <v>3000</v>
      </c>
      <c r="AI49" s="159">
        <f>IF(I49="-","BadRank",SUM($C49:I49))</f>
        <v>6000</v>
      </c>
      <c r="AJ49" s="159">
        <f>IF(J49="-","BadRank",SUM($C49:J49))</f>
        <v>9000</v>
      </c>
      <c r="AK49" s="159">
        <f>IF(K49="-","BadRank",SUM($C49:K49))</f>
        <v>12000</v>
      </c>
      <c r="AL49" s="159" t="str">
        <f>IF(L49="-","BadRank",SUM($C49:L49))</f>
        <v>BadRank</v>
      </c>
      <c r="AM49" s="159" t="str">
        <f>IF(M49="-","BadRank",SUM($C49:M49))</f>
        <v>BadRank</v>
      </c>
    </row>
    <row r="50" spans="2:39" s="159" customFormat="1" ht="15">
      <c r="B50" s="159" t="s">
        <v>466</v>
      </c>
      <c r="C50" s="161">
        <v>300</v>
      </c>
      <c r="D50" s="161">
        <v>200</v>
      </c>
      <c r="E50" s="161">
        <v>500</v>
      </c>
      <c r="F50" s="161">
        <v>1000</v>
      </c>
      <c r="G50" s="161">
        <v>2000</v>
      </c>
      <c r="H50" s="161">
        <v>2000</v>
      </c>
      <c r="I50" s="161">
        <v>2000</v>
      </c>
      <c r="J50" s="161">
        <v>2000</v>
      </c>
      <c r="K50" s="161">
        <v>3000</v>
      </c>
      <c r="L50" s="161" t="s">
        <v>365</v>
      </c>
      <c r="M50" s="161" t="s">
        <v>365</v>
      </c>
      <c r="N50" s="159">
        <v>16</v>
      </c>
      <c r="O50" s="159">
        <v>6</v>
      </c>
      <c r="P50" s="159">
        <v>55</v>
      </c>
      <c r="Q50" s="166">
        <v>4</v>
      </c>
      <c r="R50" s="166" t="s">
        <v>371</v>
      </c>
      <c r="S50" s="166">
        <v>180</v>
      </c>
      <c r="T50" s="166" t="s">
        <v>379</v>
      </c>
      <c r="AC50" s="159">
        <f t="shared" si="0"/>
        <v>300</v>
      </c>
      <c r="AD50" s="159">
        <f>IF(D50="-","BadRank",SUM($C50:D50))</f>
        <v>500</v>
      </c>
      <c r="AE50" s="159">
        <f>IF(E50="-","BadRank",SUM($C50:E50))</f>
        <v>1000</v>
      </c>
      <c r="AF50" s="159">
        <f>IF(F50="-","BadRank",SUM($C50:F50))</f>
        <v>2000</v>
      </c>
      <c r="AG50" s="159">
        <f>IF(G50="-","BadRank",SUM($C50:G50))</f>
        <v>4000</v>
      </c>
      <c r="AH50" s="159">
        <f>IF(H50="-","BadRank",SUM($C50:H50))</f>
        <v>6000</v>
      </c>
      <c r="AI50" s="159">
        <f>IF(I50="-","BadRank",SUM($C50:I50))</f>
        <v>8000</v>
      </c>
      <c r="AJ50" s="159">
        <f>IF(J50="-","BadRank",SUM($C50:J50))</f>
        <v>10000</v>
      </c>
      <c r="AK50" s="159">
        <f>IF(K50="-","BadRank",SUM($C50:K50))</f>
        <v>13000</v>
      </c>
      <c r="AL50" s="159" t="str">
        <f>IF(L50="-","BadRank",SUM($C50:L50))</f>
        <v>BadRank</v>
      </c>
      <c r="AM50" s="159" t="str">
        <f>IF(M50="-","BadRank",SUM($C50:M50))</f>
        <v>BadRank</v>
      </c>
    </row>
    <row r="51" spans="2:39" ht="15">
      <c r="B51" t="s">
        <v>467</v>
      </c>
      <c r="C51" s="163">
        <v>300</v>
      </c>
      <c r="D51" s="163">
        <v>200</v>
      </c>
      <c r="E51" s="163">
        <v>500</v>
      </c>
      <c r="F51" s="163">
        <v>1000</v>
      </c>
      <c r="G51" s="163">
        <v>2000</v>
      </c>
      <c r="H51" s="163">
        <v>2000</v>
      </c>
      <c r="I51" s="163">
        <v>2000</v>
      </c>
      <c r="J51" s="163">
        <v>2000</v>
      </c>
      <c r="K51" s="163">
        <v>3000</v>
      </c>
      <c r="L51" s="163" t="s">
        <v>365</v>
      </c>
      <c r="M51" s="163" t="s">
        <v>365</v>
      </c>
      <c r="N51">
        <v>25</v>
      </c>
      <c r="O51">
        <v>14</v>
      </c>
      <c r="P51">
        <v>55</v>
      </c>
      <c r="Q51" s="165">
        <v>7</v>
      </c>
      <c r="R51" s="165" t="s">
        <v>371</v>
      </c>
      <c r="S51" s="165">
        <v>45</v>
      </c>
      <c r="T51" s="165" t="s">
        <v>379</v>
      </c>
      <c r="U51"/>
      <c r="V51"/>
      <c r="AA51"/>
      <c r="AB51"/>
      <c r="AC51" s="83">
        <f t="shared" si="0"/>
        <v>300</v>
      </c>
      <c r="AD51" s="83">
        <f>IF(D51="-","BadRank",SUM($C51:D51))</f>
        <v>500</v>
      </c>
      <c r="AE51" s="83">
        <f>IF(E51="-","BadRank",SUM($C51:E51))</f>
        <v>1000</v>
      </c>
      <c r="AF51" s="83">
        <f>IF(F51="-","BadRank",SUM($C51:F51))</f>
        <v>2000</v>
      </c>
      <c r="AG51" s="83">
        <f>IF(G51="-","BadRank",SUM($C51:G51))</f>
        <v>4000</v>
      </c>
      <c r="AH51" s="83">
        <f>IF(H51="-","BadRank",SUM($C51:H51))</f>
        <v>6000</v>
      </c>
      <c r="AI51" s="83">
        <f>IF(I51="-","BadRank",SUM($C51:I51))</f>
        <v>8000</v>
      </c>
      <c r="AJ51" s="83">
        <f>IF(J51="-","BadRank",SUM($C51:J51))</f>
        <v>10000</v>
      </c>
      <c r="AK51" s="83">
        <f>IF(K51="-","BadRank",SUM($C51:K51))</f>
        <v>13000</v>
      </c>
      <c r="AL51" s="83" t="str">
        <f>IF(L51="-","BadRank",SUM($C51:L51))</f>
        <v>BadRank</v>
      </c>
      <c r="AM51" s="83" t="str">
        <f>IF(M51="-","BadRank",SUM($C51:M51))</f>
        <v>BadRank</v>
      </c>
    </row>
    <row r="52" spans="2:39" ht="15">
      <c r="B52" t="s">
        <v>468</v>
      </c>
      <c r="C52" s="130">
        <v>200</v>
      </c>
      <c r="D52" s="130">
        <v>200</v>
      </c>
      <c r="E52" s="130">
        <v>400</v>
      </c>
      <c r="F52" s="130">
        <v>700</v>
      </c>
      <c r="G52" s="130">
        <v>1500</v>
      </c>
      <c r="H52" s="130">
        <v>3000</v>
      </c>
      <c r="I52" s="130">
        <v>3000</v>
      </c>
      <c r="J52" s="130">
        <v>3000</v>
      </c>
      <c r="K52" s="130">
        <v>3000</v>
      </c>
      <c r="L52" s="130" t="s">
        <v>365</v>
      </c>
      <c r="M52" s="130" t="s">
        <v>365</v>
      </c>
      <c r="N52">
        <v>17</v>
      </c>
      <c r="O52">
        <v>8</v>
      </c>
      <c r="P52">
        <v>55</v>
      </c>
      <c r="Q52" s="165">
        <v>4</v>
      </c>
      <c r="R52" s="165" t="s">
        <v>371</v>
      </c>
      <c r="S52" s="165">
        <v>225</v>
      </c>
      <c r="T52" s="165" t="s">
        <v>379</v>
      </c>
      <c r="U52"/>
      <c r="V52"/>
      <c r="AA52"/>
      <c r="AB52"/>
      <c r="AC52" s="83">
        <f t="shared" si="0"/>
        <v>200</v>
      </c>
      <c r="AD52" s="83">
        <f>IF(D52="-","BadRank",SUM($C52:D52))</f>
        <v>400</v>
      </c>
      <c r="AE52" s="83">
        <f>IF(E52="-","BadRank",SUM($C52:E52))</f>
        <v>800</v>
      </c>
      <c r="AF52" s="83">
        <f>IF(F52="-","BadRank",SUM($C52:F52))</f>
        <v>1500</v>
      </c>
      <c r="AG52" s="83">
        <f>IF(G52="-","BadRank",SUM($C52:G52))</f>
        <v>3000</v>
      </c>
      <c r="AH52" s="83">
        <f>IF(H52="-","BadRank",SUM($C52:H52))</f>
        <v>6000</v>
      </c>
      <c r="AI52" s="83">
        <f>IF(I52="-","BadRank",SUM($C52:I52))</f>
        <v>9000</v>
      </c>
      <c r="AJ52" s="83">
        <f>IF(J52="-","BadRank",SUM($C52:J52))</f>
        <v>12000</v>
      </c>
      <c r="AK52" s="83">
        <f>IF(K52="-","BadRank",SUM($C52:K52))</f>
        <v>15000</v>
      </c>
      <c r="AL52" s="83" t="str">
        <f>IF(L52="-","BadRank",SUM($C52:L52))</f>
        <v>BadRank</v>
      </c>
      <c r="AM52" s="83" t="str">
        <f>IF(M52="-","BadRank",SUM($C52:M52))</f>
        <v>BadRank</v>
      </c>
    </row>
    <row r="53" spans="2:39" ht="15">
      <c r="B53" t="s">
        <v>469</v>
      </c>
      <c r="C53" s="130">
        <v>100</v>
      </c>
      <c r="D53" s="130">
        <v>100</v>
      </c>
      <c r="E53" s="130">
        <v>200</v>
      </c>
      <c r="F53" s="130">
        <v>400</v>
      </c>
      <c r="G53" s="130">
        <v>800</v>
      </c>
      <c r="H53" s="130">
        <v>1000</v>
      </c>
      <c r="I53" s="130" t="s">
        <v>365</v>
      </c>
      <c r="J53" s="130" t="s">
        <v>365</v>
      </c>
      <c r="K53" s="130" t="s">
        <v>365</v>
      </c>
      <c r="L53" s="130" t="s">
        <v>365</v>
      </c>
      <c r="M53" s="130" t="s">
        <v>365</v>
      </c>
      <c r="N53">
        <v>18</v>
      </c>
      <c r="O53">
        <v>7</v>
      </c>
      <c r="P53">
        <v>60</v>
      </c>
      <c r="Q53" s="165">
        <v>3</v>
      </c>
      <c r="R53" s="165" t="s">
        <v>371</v>
      </c>
      <c r="S53" s="165">
        <v>80</v>
      </c>
      <c r="T53" s="165" t="s">
        <v>379</v>
      </c>
      <c r="U53"/>
      <c r="V53"/>
      <c r="AA53"/>
      <c r="AB53"/>
      <c r="AC53" s="83">
        <f t="shared" si="0"/>
        <v>100</v>
      </c>
      <c r="AD53" s="83">
        <f>IF(D53="-","BadRank",SUM($C53:D53))</f>
        <v>200</v>
      </c>
      <c r="AE53" s="83">
        <f>IF(E53="-","BadRank",SUM($C53:E53))</f>
        <v>400</v>
      </c>
      <c r="AF53" s="83">
        <f>IF(F53="-","BadRank",SUM($C53:F53))</f>
        <v>800</v>
      </c>
      <c r="AG53" s="83">
        <f>IF(G53="-","BadRank",SUM($C53:G53))</f>
        <v>1600</v>
      </c>
      <c r="AH53" s="83">
        <f>IF(H53="-","BadRank",SUM($C53:G53))</f>
        <v>1600</v>
      </c>
      <c r="AI53" s="83" t="str">
        <f>IF(I53="-","BadRank",SUM($C53:H53))</f>
        <v>BadRank</v>
      </c>
      <c r="AJ53" s="83" t="str">
        <f>IF(I53="-","BadRank",SUM($C53:I53))</f>
        <v>BadRank</v>
      </c>
      <c r="AK53" s="83" t="str">
        <f>IF(J53="-","BadRank",SUM($C53:J53))</f>
        <v>BadRank</v>
      </c>
      <c r="AL53" s="83" t="str">
        <f>IF(K53="-","BadRank",SUM($C53:K53))</f>
        <v>BadRank</v>
      </c>
      <c r="AM53" s="83" t="str">
        <f>IF(L53="-","BadRank",SUM($C53:L53))</f>
        <v>BadRank</v>
      </c>
    </row>
    <row r="54" spans="2:39" s="159" customFormat="1" ht="15">
      <c r="B54" s="159" t="s">
        <v>470</v>
      </c>
      <c r="C54" s="161">
        <v>100</v>
      </c>
      <c r="D54" s="161">
        <v>100</v>
      </c>
      <c r="E54" s="161">
        <v>200</v>
      </c>
      <c r="F54" s="161">
        <v>400</v>
      </c>
      <c r="G54" s="161">
        <v>800</v>
      </c>
      <c r="H54" s="161">
        <v>1000</v>
      </c>
      <c r="I54" s="161" t="s">
        <v>365</v>
      </c>
      <c r="J54" s="161" t="s">
        <v>365</v>
      </c>
      <c r="K54" s="161" t="s">
        <v>365</v>
      </c>
      <c r="L54" s="161" t="s">
        <v>365</v>
      </c>
      <c r="M54" s="161" t="s">
        <v>365</v>
      </c>
      <c r="N54" s="159">
        <v>20</v>
      </c>
      <c r="O54" s="159">
        <v>10</v>
      </c>
      <c r="P54" s="159">
        <v>60</v>
      </c>
      <c r="Q54" s="166">
        <v>4</v>
      </c>
      <c r="R54" s="166" t="s">
        <v>371</v>
      </c>
      <c r="S54" s="166">
        <v>90</v>
      </c>
      <c r="T54" s="166" t="s">
        <v>379</v>
      </c>
      <c r="AC54" s="159">
        <f t="shared" si="0"/>
        <v>100</v>
      </c>
      <c r="AD54" s="159">
        <f>IF(D54="-","BadRank",SUM($C54:D54))</f>
        <v>200</v>
      </c>
      <c r="AE54" s="159">
        <f>IF(E54="-","BadRank",SUM($C54:E54))</f>
        <v>400</v>
      </c>
      <c r="AF54" s="159">
        <f>IF(F54="-","BadRank",SUM($C54:F54))</f>
        <v>800</v>
      </c>
      <c r="AG54" s="159">
        <f>IF(G54="-","BadRank",SUM($C54:G54))</f>
        <v>1600</v>
      </c>
      <c r="AH54" s="159">
        <f>IF(H54="-","BadRank",SUM($C54:H54))</f>
        <v>2600</v>
      </c>
      <c r="AI54" s="159" t="str">
        <f>IF(I54="-","BadRank",SUM($C54:I54))</f>
        <v>BadRank</v>
      </c>
      <c r="AJ54" s="159" t="str">
        <f>IF(J54="-","BadRank",SUM($C54:J54))</f>
        <v>BadRank</v>
      </c>
      <c r="AK54" s="159" t="str">
        <f>IF(K54="-","BadRank",SUM($C54:K54))</f>
        <v>BadRank</v>
      </c>
      <c r="AL54" s="159" t="str">
        <f>IF(L54="-","BadRank",SUM($C54:L54))</f>
        <v>BadRank</v>
      </c>
      <c r="AM54" s="159" t="str">
        <f>IF(M54="-","BadRank",SUM($C54:M54))</f>
        <v>BadRank</v>
      </c>
    </row>
    <row r="55" spans="2:39" s="159" customFormat="1" ht="15">
      <c r="B55" s="159" t="s">
        <v>471</v>
      </c>
      <c r="C55" s="161">
        <v>25</v>
      </c>
      <c r="D55" s="161">
        <v>25</v>
      </c>
      <c r="E55" s="161">
        <v>50</v>
      </c>
      <c r="F55" s="161">
        <v>100</v>
      </c>
      <c r="G55" s="161">
        <v>200</v>
      </c>
      <c r="H55" s="161">
        <v>400</v>
      </c>
      <c r="I55" s="161">
        <v>700</v>
      </c>
      <c r="J55" s="161">
        <v>1500</v>
      </c>
      <c r="K55" s="161">
        <v>3000</v>
      </c>
      <c r="L55" s="161">
        <v>4000</v>
      </c>
      <c r="M55" s="161">
        <v>5000</v>
      </c>
      <c r="N55" s="159">
        <v>11</v>
      </c>
      <c r="O55" s="159">
        <v>4</v>
      </c>
      <c r="P55" s="159">
        <v>50</v>
      </c>
      <c r="Q55" s="166">
        <v>2</v>
      </c>
      <c r="R55" s="166" t="s">
        <v>371</v>
      </c>
      <c r="S55" s="166">
        <v>15</v>
      </c>
      <c r="T55" s="166" t="s">
        <v>379</v>
      </c>
      <c r="AC55" s="159">
        <f t="shared" si="0"/>
        <v>25</v>
      </c>
      <c r="AD55" s="159">
        <f>IF(D55="-","BadRank",SUM($C55:D55))</f>
        <v>50</v>
      </c>
      <c r="AE55" s="159">
        <f>IF(E55="-","BadRank",SUM($C55:E55))</f>
        <v>100</v>
      </c>
      <c r="AF55" s="159">
        <f>IF(F55="-","BadRank",SUM($C55:F55))</f>
        <v>200</v>
      </c>
      <c r="AG55" s="159">
        <f>IF(G55="-","BadRank",SUM($C55:G55))</f>
        <v>400</v>
      </c>
      <c r="AH55" s="159">
        <f>IF(H55="-","BadRank",SUM($C55:H55))</f>
        <v>800</v>
      </c>
      <c r="AI55" s="159">
        <f>IF(I55="-","BadRank",SUM($C55:I55))</f>
        <v>1500</v>
      </c>
      <c r="AJ55" s="159">
        <f>IF(J55="-","BadRank",SUM($C55:J55))</f>
        <v>3000</v>
      </c>
      <c r="AK55" s="159">
        <f>IF(K55="-","BadRank",SUM($C55:K55))</f>
        <v>6000</v>
      </c>
      <c r="AL55" s="159">
        <f>IF(L55="-","BadRank",SUM($C55:L55))</f>
        <v>10000</v>
      </c>
      <c r="AM55" s="159">
        <f>IF(M55="-","BadRank",SUM($C55:M55))</f>
        <v>15000</v>
      </c>
    </row>
    <row r="56" spans="2:39" s="159" customFormat="1" ht="15">
      <c r="B56" s="159" t="s">
        <v>472</v>
      </c>
      <c r="C56" s="161">
        <v>25</v>
      </c>
      <c r="D56" s="161">
        <v>25</v>
      </c>
      <c r="E56" s="161">
        <v>50</v>
      </c>
      <c r="F56" s="161">
        <v>100</v>
      </c>
      <c r="G56" s="161">
        <v>200</v>
      </c>
      <c r="H56" s="161">
        <v>400</v>
      </c>
      <c r="I56" s="161">
        <v>700</v>
      </c>
      <c r="J56" s="161">
        <v>1500</v>
      </c>
      <c r="K56" s="161">
        <v>3000</v>
      </c>
      <c r="L56" s="161">
        <v>4000</v>
      </c>
      <c r="M56" s="161">
        <v>5000</v>
      </c>
      <c r="N56" s="159">
        <v>7</v>
      </c>
      <c r="O56" s="159">
        <v>1</v>
      </c>
      <c r="P56" s="159">
        <v>30</v>
      </c>
      <c r="Q56" s="166"/>
      <c r="R56" s="166" t="s">
        <v>365</v>
      </c>
      <c r="S56" s="166">
        <v>7</v>
      </c>
      <c r="T56" s="166" t="s">
        <v>379</v>
      </c>
      <c r="AC56" s="159">
        <f t="shared" si="0"/>
        <v>25</v>
      </c>
      <c r="AD56" s="159">
        <f>IF(D56="-","BadRank",SUM($C56:D56))</f>
        <v>50</v>
      </c>
      <c r="AE56" s="159">
        <f>IF(E56="-","BadRank",SUM($C56:E56))</f>
        <v>100</v>
      </c>
      <c r="AF56" s="159">
        <f>IF(F56="-","BadRank",SUM($C56:F56))</f>
        <v>200</v>
      </c>
      <c r="AG56" s="159">
        <f>IF(G56="-","BadRank",SUM($C56:G56))</f>
        <v>400</v>
      </c>
      <c r="AH56" s="159">
        <f>IF(H56="-","BadRank",SUM($C56:H56))</f>
        <v>800</v>
      </c>
      <c r="AI56" s="159">
        <f>IF(I56="-","BadRank",SUM($C56:I56))</f>
        <v>1500</v>
      </c>
      <c r="AJ56" s="159">
        <f>IF(J56="-","BadRank",SUM($C56:J56))</f>
        <v>3000</v>
      </c>
      <c r="AK56" s="159">
        <f>IF(K56="-","BadRank",SUM($C56:K56))</f>
        <v>6000</v>
      </c>
      <c r="AL56" s="159">
        <f>IF(L56="-","BadRank",SUM($C56:L56))</f>
        <v>10000</v>
      </c>
      <c r="AM56" s="159">
        <f>IF(M56="-","BadRank",SUM($C56:M56))</f>
        <v>15000</v>
      </c>
    </row>
    <row r="57" spans="14:39" ht="15">
      <c r="N57"/>
      <c r="O57"/>
      <c r="P57"/>
      <c r="Q57" s="165"/>
      <c r="R57" s="165"/>
      <c r="S57" s="165"/>
      <c r="T57" s="165"/>
      <c r="U57"/>
      <c r="V57"/>
      <c r="AA57"/>
      <c r="AB57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</row>
    <row r="58" spans="1:39" ht="15">
      <c r="A58" s="158" t="s">
        <v>473</v>
      </c>
      <c r="N58"/>
      <c r="O58"/>
      <c r="P58"/>
      <c r="Q58" s="165"/>
      <c r="R58" s="165"/>
      <c r="S58" s="165"/>
      <c r="T58" s="165"/>
      <c r="U58"/>
      <c r="V58"/>
      <c r="AA58"/>
      <c r="AB58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</row>
    <row r="59" spans="2:39" ht="15">
      <c r="B59" t="s">
        <v>474</v>
      </c>
      <c r="C59" s="130">
        <v>200</v>
      </c>
      <c r="D59" s="130">
        <v>100</v>
      </c>
      <c r="E59" s="130">
        <v>200</v>
      </c>
      <c r="F59" s="130">
        <v>500</v>
      </c>
      <c r="G59" s="130">
        <v>1000</v>
      </c>
      <c r="H59" s="130">
        <v>2000</v>
      </c>
      <c r="I59" s="130">
        <v>2000</v>
      </c>
      <c r="J59" s="130">
        <v>2000</v>
      </c>
      <c r="K59" s="130">
        <v>2000</v>
      </c>
      <c r="L59" s="130">
        <v>2000</v>
      </c>
      <c r="M59" s="130">
        <v>2000</v>
      </c>
      <c r="N59">
        <v>9</v>
      </c>
      <c r="O59">
        <f>3/16</f>
        <v>0.1875</v>
      </c>
      <c r="P59">
        <v>40</v>
      </c>
      <c r="Q59" s="165">
        <v>0</v>
      </c>
      <c r="R59" s="165" t="s">
        <v>371</v>
      </c>
      <c r="S59" s="165">
        <v>12</v>
      </c>
      <c r="T59" s="165" t="s">
        <v>379</v>
      </c>
      <c r="U59"/>
      <c r="V59"/>
      <c r="AA59"/>
      <c r="AB59"/>
      <c r="AC59" s="83">
        <f t="shared" si="0"/>
        <v>200</v>
      </c>
      <c r="AD59" s="83">
        <f>IF(D59="-","BadRank",SUM($C59:D59))</f>
        <v>300</v>
      </c>
      <c r="AE59" s="83">
        <f>IF(E59="-","BadRank",SUM($C59:E59))</f>
        <v>500</v>
      </c>
      <c r="AF59" s="83">
        <f>IF(F59="-","BadRank",SUM($C59:F59))</f>
        <v>1000</v>
      </c>
      <c r="AG59" s="83">
        <f>IF(G59="-","BadRank",SUM($C59:G59))</f>
        <v>2000</v>
      </c>
      <c r="AH59" s="83">
        <f>IF(H59="-","BadRank",SUM($C59:H59))</f>
        <v>4000</v>
      </c>
      <c r="AI59" s="83">
        <f>IF(I59="-","BadRank",SUM($C59:I59))</f>
        <v>6000</v>
      </c>
      <c r="AJ59" s="83">
        <f>IF(J59="-","BadRank",SUM($C59:J59))</f>
        <v>8000</v>
      </c>
      <c r="AK59" s="83">
        <f>IF(K59="-","BadRank",SUM($C59:K59))</f>
        <v>10000</v>
      </c>
      <c r="AL59" s="83">
        <f>IF(L59="-","BadRank",SUM($C59:L59))</f>
        <v>12000</v>
      </c>
      <c r="AM59" s="83">
        <f>IF(M59="-","BadRank",SUM($C59:M59))</f>
        <v>14000</v>
      </c>
    </row>
    <row r="60" spans="2:39" ht="15">
      <c r="B60" t="s">
        <v>475</v>
      </c>
      <c r="C60" s="130">
        <v>100</v>
      </c>
      <c r="D60" s="130">
        <v>300</v>
      </c>
      <c r="E60" s="130">
        <v>500</v>
      </c>
      <c r="F60" s="130">
        <v>1000</v>
      </c>
      <c r="G60" s="130">
        <v>1200</v>
      </c>
      <c r="H60" s="130">
        <v>1500</v>
      </c>
      <c r="I60" s="130">
        <v>1500</v>
      </c>
      <c r="J60" s="130">
        <v>1500</v>
      </c>
      <c r="K60" s="130" t="s">
        <v>365</v>
      </c>
      <c r="L60" s="130" t="s">
        <v>365</v>
      </c>
      <c r="M60" s="130" t="s">
        <v>365</v>
      </c>
      <c r="N60">
        <v>11</v>
      </c>
      <c r="O60">
        <v>1</v>
      </c>
      <c r="P60">
        <v>40</v>
      </c>
      <c r="Q60" s="165">
        <v>0</v>
      </c>
      <c r="R60" s="165" t="s">
        <v>373</v>
      </c>
      <c r="S60" s="165">
        <v>20</v>
      </c>
      <c r="T60" s="165" t="s">
        <v>379</v>
      </c>
      <c r="U60"/>
      <c r="V60"/>
      <c r="AA60"/>
      <c r="AB60"/>
      <c r="AC60" s="83">
        <f t="shared" si="0"/>
        <v>100</v>
      </c>
      <c r="AD60" s="83">
        <f>IF(D60="-","BadRank",SUM($C60:D60))</f>
        <v>400</v>
      </c>
      <c r="AE60" s="83">
        <f>IF(E60="-","BadRank",SUM($C60:E60))</f>
        <v>900</v>
      </c>
      <c r="AF60" s="83">
        <f>IF(F60="-","BadRank",SUM($C60:F60))</f>
        <v>1900</v>
      </c>
      <c r="AG60" s="83">
        <f>IF(G60="-","BadRank",SUM($C60:G60))</f>
        <v>3100</v>
      </c>
      <c r="AH60" s="83">
        <f>IF(H60="-","BadRank",SUM($C60:H60))</f>
        <v>4600</v>
      </c>
      <c r="AI60" s="83">
        <f>IF(I60="-","BadRank",SUM($C60:I60))</f>
        <v>6100</v>
      </c>
      <c r="AJ60" s="83">
        <f>IF(J60="-","BadRank",SUM($C60:J60))</f>
        <v>7600</v>
      </c>
      <c r="AK60" s="83" t="str">
        <f>IF(K60="-","BadRank",SUM($C60:K60))</f>
        <v>BadRank</v>
      </c>
      <c r="AL60" s="83" t="str">
        <f>IF(L60="-","BadRank",SUM($C60:L60))</f>
        <v>BadRank</v>
      </c>
      <c r="AM60" s="83" t="str">
        <f>IF(M60="-","BadRank",SUM($C60:M60))</f>
        <v>BadRank</v>
      </c>
    </row>
    <row r="61" spans="2:39" ht="15">
      <c r="B61" t="s">
        <v>476</v>
      </c>
      <c r="C61" s="130">
        <v>25</v>
      </c>
      <c r="D61" s="130">
        <v>50</v>
      </c>
      <c r="E61" s="130">
        <v>75</v>
      </c>
      <c r="F61" s="130">
        <v>100</v>
      </c>
      <c r="G61" s="130">
        <v>150</v>
      </c>
      <c r="H61" s="130" t="s">
        <v>365</v>
      </c>
      <c r="I61" s="130" t="s">
        <v>365</v>
      </c>
      <c r="J61" s="130" t="s">
        <v>365</v>
      </c>
      <c r="K61" s="130" t="s">
        <v>365</v>
      </c>
      <c r="L61" s="130" t="s">
        <v>365</v>
      </c>
      <c r="M61" s="130" t="s">
        <v>365</v>
      </c>
      <c r="N61">
        <v>9</v>
      </c>
      <c r="O61">
        <v>2</v>
      </c>
      <c r="P61">
        <v>40</v>
      </c>
      <c r="Q61" s="165"/>
      <c r="R61" s="165" t="s">
        <v>365</v>
      </c>
      <c r="S61" s="165">
        <v>15</v>
      </c>
      <c r="T61" s="165" t="s">
        <v>379</v>
      </c>
      <c r="U61"/>
      <c r="V61"/>
      <c r="AA61"/>
      <c r="AB61"/>
      <c r="AC61" s="83">
        <f t="shared" si="0"/>
        <v>25</v>
      </c>
      <c r="AD61" s="83">
        <f>IF(D61="-","BadRank",SUM($C61:D61))</f>
        <v>75</v>
      </c>
      <c r="AE61" s="83">
        <f>IF(E61="-","BadRank",SUM($C61:E61))</f>
        <v>150</v>
      </c>
      <c r="AF61" s="83">
        <f>IF(F61="-","BadRank",SUM($C61:F61))</f>
        <v>250</v>
      </c>
      <c r="AG61" s="83">
        <f>IF(G61="-","BadRank",SUM($C61:G61))</f>
        <v>400</v>
      </c>
      <c r="AH61" s="83" t="str">
        <f>IF(H61="-","BadRank",SUM($C61:H61))</f>
        <v>BadRank</v>
      </c>
      <c r="AI61" s="83" t="str">
        <f>IF(I61="-","BadRank",SUM($C61:I61))</f>
        <v>BadRank</v>
      </c>
      <c r="AJ61" s="83" t="str">
        <f>IF(J61="-","BadRank",SUM($C61:J61))</f>
        <v>BadRank</v>
      </c>
      <c r="AK61" s="83" t="str">
        <f>IF(K61="-","BadRank",SUM($C61:K61))</f>
        <v>BadRank</v>
      </c>
      <c r="AL61" s="83" t="str">
        <f>IF(L61="-","BadRank",SUM($C61:L61))</f>
        <v>BadRank</v>
      </c>
      <c r="AM61" s="83" t="str">
        <f>IF(M61="-","BadRank",SUM($C61:M61))</f>
        <v>BadRank</v>
      </c>
    </row>
    <row r="62" spans="14:39" ht="15">
      <c r="N62"/>
      <c r="O62"/>
      <c r="P62"/>
      <c r="Q62" s="165"/>
      <c r="R62" s="165"/>
      <c r="S62" s="165"/>
      <c r="T62" s="165"/>
      <c r="U62"/>
      <c r="V62"/>
      <c r="AA62"/>
      <c r="AB62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</row>
    <row r="63" spans="1:39" ht="15">
      <c r="A63" s="158" t="s">
        <v>477</v>
      </c>
      <c r="N63"/>
      <c r="O63"/>
      <c r="P63"/>
      <c r="Q63" s="165"/>
      <c r="R63" s="165"/>
      <c r="S63" s="165"/>
      <c r="T63" s="165"/>
      <c r="U63"/>
      <c r="V63"/>
      <c r="AA63"/>
      <c r="AB6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</row>
    <row r="64" spans="2:39" s="159" customFormat="1" ht="15">
      <c r="B64" s="159" t="s">
        <v>478</v>
      </c>
      <c r="C64" s="161">
        <v>150</v>
      </c>
      <c r="D64" s="161">
        <v>150</v>
      </c>
      <c r="E64" s="161">
        <v>300</v>
      </c>
      <c r="F64" s="161">
        <v>600</v>
      </c>
      <c r="G64" s="161">
        <v>1300</v>
      </c>
      <c r="H64" s="161" t="s">
        <v>365</v>
      </c>
      <c r="I64" s="161" t="s">
        <v>365</v>
      </c>
      <c r="J64" s="161" t="s">
        <v>365</v>
      </c>
      <c r="K64" s="161" t="s">
        <v>365</v>
      </c>
      <c r="L64" s="161" t="s">
        <v>365</v>
      </c>
      <c r="M64" s="161" t="s">
        <v>365</v>
      </c>
      <c r="N64" s="159">
        <v>11</v>
      </c>
      <c r="O64" s="159">
        <v>2</v>
      </c>
      <c r="P64" s="159">
        <v>30</v>
      </c>
      <c r="Q64" s="166">
        <v>-5</v>
      </c>
      <c r="R64" s="166" t="s">
        <v>365</v>
      </c>
      <c r="S64" s="166">
        <v>5</v>
      </c>
      <c r="T64" s="166" t="s">
        <v>375</v>
      </c>
      <c r="AC64" s="159">
        <f>SUM($C64)</f>
        <v>150</v>
      </c>
      <c r="AD64" s="159">
        <f>IF(D64="-","BadRank",SUM($C64:D65))</f>
        <v>700</v>
      </c>
      <c r="AE64" s="159">
        <f>IF(E65="-","BadRank",SUM($C65:E65))</f>
        <v>800</v>
      </c>
      <c r="AF64" s="159">
        <f>IF(F65="-","BadRank",SUM($C65:F65))</f>
        <v>1500</v>
      </c>
      <c r="AG64" s="159">
        <f>IF(G65="-","BadRank",SUM($C65:G65))</f>
        <v>3000</v>
      </c>
      <c r="AH64" s="159">
        <f>IF(H65="-","BadRank",SUM($C65:H65))</f>
        <v>5000</v>
      </c>
      <c r="AI64" s="159">
        <f>IF(I65="-","BadRank",SUM($C65:I65))</f>
        <v>10000</v>
      </c>
      <c r="AJ64" s="159" t="str">
        <f>IF(J65="-","BadRank",SUM($C65:J65))</f>
        <v>BadRank</v>
      </c>
      <c r="AK64" s="159" t="str">
        <f>IF(K65="-","BadRank",SUM($C65:K65))</f>
        <v>BadRank</v>
      </c>
      <c r="AL64" s="159" t="str">
        <f>IF(L65="-","BadRank",SUM($C65:L65))</f>
        <v>BadRank</v>
      </c>
      <c r="AM64" s="159" t="str">
        <f>IF(M65="-","BadRank",SUM($C65:M65))</f>
        <v>BadRank</v>
      </c>
    </row>
    <row r="65" spans="2:39" s="159" customFormat="1" ht="15">
      <c r="B65" s="159" t="s">
        <v>479</v>
      </c>
      <c r="C65" s="161">
        <v>200</v>
      </c>
      <c r="D65" s="161">
        <v>200</v>
      </c>
      <c r="E65" s="161">
        <v>400</v>
      </c>
      <c r="F65" s="161">
        <v>700</v>
      </c>
      <c r="G65" s="161">
        <v>1500</v>
      </c>
      <c r="H65" s="161">
        <v>2000</v>
      </c>
      <c r="I65" s="161">
        <v>5000</v>
      </c>
      <c r="J65" s="161" t="s">
        <v>365</v>
      </c>
      <c r="K65" s="161" t="s">
        <v>365</v>
      </c>
      <c r="L65" s="161" t="s">
        <v>365</v>
      </c>
      <c r="M65" s="161" t="s">
        <v>365</v>
      </c>
      <c r="N65" s="159">
        <v>11</v>
      </c>
      <c r="O65" s="159">
        <v>2</v>
      </c>
      <c r="P65" s="159">
        <v>35</v>
      </c>
      <c r="Q65" s="166">
        <v>-3</v>
      </c>
      <c r="R65" s="166" t="s">
        <v>365</v>
      </c>
      <c r="S65" s="166">
        <v>10</v>
      </c>
      <c r="T65" s="166" t="s">
        <v>380</v>
      </c>
      <c r="AC65" s="159">
        <f>SUM(C65)</f>
        <v>200</v>
      </c>
      <c r="AD65" s="159">
        <f>IF(D65="-","BadRank",SUM($C65:D65))</f>
        <v>400</v>
      </c>
      <c r="AE65" s="159">
        <f>IF(E65="-","BadRank",SUM($C65:E65))</f>
        <v>800</v>
      </c>
      <c r="AF65" s="159">
        <f>IF(F65="-","BadRank",SUM($C65:F65))</f>
        <v>1500</v>
      </c>
      <c r="AG65" s="159">
        <f>IF(G65="-","BadRank",SUM($C65:G65))</f>
        <v>3000</v>
      </c>
      <c r="AH65" s="159">
        <f>IF(H65="-","BadRank",SUM($C65:H65))</f>
        <v>5000</v>
      </c>
      <c r="AI65" s="159">
        <f>IF(I65="-","BadRank",SUM($C65:I65))</f>
        <v>10000</v>
      </c>
      <c r="AJ65" s="159" t="str">
        <f>IF(J65="-","BadRank",SUM($C65:J65))</f>
        <v>BadRank</v>
      </c>
      <c r="AK65" s="159" t="e">
        <f>IF(#REF!="-","BadRank",SUM(#REF!))</f>
        <v>#REF!</v>
      </c>
      <c r="AL65" s="159" t="e">
        <f>IF(#REF!="-","BadRank",SUM(#REF!))</f>
        <v>#REF!</v>
      </c>
      <c r="AM65" s="159" t="e">
        <f>IF(#REF!="-","BadRank",SUM(#REF!))</f>
        <v>#REF!</v>
      </c>
    </row>
    <row r="66" spans="2:39" s="159" customFormat="1" ht="15">
      <c r="B66" s="159" t="s">
        <v>480</v>
      </c>
      <c r="C66" s="161">
        <v>150</v>
      </c>
      <c r="D66" s="161">
        <v>150</v>
      </c>
      <c r="E66" s="161">
        <v>500</v>
      </c>
      <c r="F66" s="161">
        <v>900</v>
      </c>
      <c r="G66" s="161">
        <v>1400</v>
      </c>
      <c r="H66" s="161">
        <v>2000</v>
      </c>
      <c r="I66" s="161">
        <v>3500</v>
      </c>
      <c r="J66" s="161">
        <v>4000</v>
      </c>
      <c r="K66" s="161">
        <v>5000</v>
      </c>
      <c r="L66" s="161">
        <v>5000</v>
      </c>
      <c r="M66" s="161">
        <v>6000</v>
      </c>
      <c r="N66" s="159">
        <v>10</v>
      </c>
      <c r="O66" s="159">
        <v>3</v>
      </c>
      <c r="P66" s="159">
        <v>40</v>
      </c>
      <c r="Q66" s="166">
        <v>-3</v>
      </c>
      <c r="R66" s="166" t="s">
        <v>365</v>
      </c>
      <c r="S66" s="166" t="s">
        <v>374</v>
      </c>
      <c r="T66" s="166" t="s">
        <v>376</v>
      </c>
      <c r="AC66" s="159">
        <f t="shared" si="0"/>
        <v>150</v>
      </c>
      <c r="AD66" s="159">
        <f>IF(D66="-","BadRank",SUM($C66:D66))</f>
        <v>300</v>
      </c>
      <c r="AE66" s="159">
        <f>IF(E66="-","BadRank",SUM($C66:E66))</f>
        <v>800</v>
      </c>
      <c r="AF66" s="159">
        <f>IF(F66="-","BadRank",SUM($C66:F66))</f>
        <v>1700</v>
      </c>
      <c r="AG66" s="159">
        <f>IF(G66="-","BadRank",SUM($C66:G66))</f>
        <v>3100</v>
      </c>
      <c r="AH66" s="159">
        <f>IF(H66="-","BadRank",SUM($C66:H66))</f>
        <v>5100</v>
      </c>
      <c r="AI66" s="159">
        <f>IF(I66="-","BadRank",SUM($C66:I66))</f>
        <v>8600</v>
      </c>
      <c r="AJ66" s="159">
        <f>IF(J66="-","BadRank",SUM($C66:J66))</f>
        <v>12600</v>
      </c>
      <c r="AK66" s="159">
        <f>IF(K66="-","BadRank",SUM($C66:K66))</f>
        <v>17600</v>
      </c>
      <c r="AL66" s="159">
        <f>IF(L66="-","BadRank",SUM($C66:L66))</f>
        <v>22600</v>
      </c>
      <c r="AM66" s="159">
        <f>IF(M66="-","BadRank",SUM($C66:M66))</f>
        <v>28600</v>
      </c>
    </row>
    <row r="67" spans="14:39" ht="15">
      <c r="N67"/>
      <c r="O67"/>
      <c r="P67"/>
      <c r="Q67" s="165"/>
      <c r="R67" s="165"/>
      <c r="S67" s="165"/>
      <c r="T67" s="165"/>
      <c r="U67"/>
      <c r="V67"/>
      <c r="AA67"/>
      <c r="AB67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</row>
    <row r="68" spans="1:39" ht="15">
      <c r="A68" s="158" t="s">
        <v>126</v>
      </c>
      <c r="N68"/>
      <c r="O68"/>
      <c r="P68"/>
      <c r="Q68" s="165"/>
      <c r="R68" s="165"/>
      <c r="S68" s="165"/>
      <c r="T68" s="165"/>
      <c r="U68"/>
      <c r="V68"/>
      <c r="AA68"/>
      <c r="AB68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</row>
    <row r="69" spans="2:39" s="159" customFormat="1" ht="15">
      <c r="B69" s="159" t="s">
        <v>127</v>
      </c>
      <c r="C69" s="161">
        <v>25</v>
      </c>
      <c r="D69" s="161">
        <v>25</v>
      </c>
      <c r="E69" s="161">
        <v>100</v>
      </c>
      <c r="F69" s="161">
        <v>150</v>
      </c>
      <c r="G69" s="161">
        <v>200</v>
      </c>
      <c r="H69" s="161">
        <v>300</v>
      </c>
      <c r="I69" s="161">
        <v>500</v>
      </c>
      <c r="J69" s="161" t="s">
        <v>365</v>
      </c>
      <c r="K69" s="161" t="s">
        <v>365</v>
      </c>
      <c r="L69" s="161" t="s">
        <v>365</v>
      </c>
      <c r="M69" s="161" t="s">
        <v>365</v>
      </c>
      <c r="N69" s="159">
        <v>5</v>
      </c>
      <c r="P69" s="159">
        <v>30</v>
      </c>
      <c r="Q69" s="166">
        <v>-1</v>
      </c>
      <c r="R69" s="166" t="s">
        <v>373</v>
      </c>
      <c r="S69" s="166">
        <v>8</v>
      </c>
      <c r="T69" s="166" t="s">
        <v>375</v>
      </c>
      <c r="AC69" s="159">
        <f>SUM($C69)</f>
        <v>25</v>
      </c>
      <c r="AD69" s="159">
        <f>IF(D69="-","BadRank",SUM($C69:D69))</f>
        <v>50</v>
      </c>
      <c r="AE69" s="159">
        <f>IF(E69="-","BadRank",SUM($C69:E69))</f>
        <v>150</v>
      </c>
      <c r="AF69" s="159">
        <f>IF(F69="-","BadRank",SUM($C69:F69))</f>
        <v>300</v>
      </c>
      <c r="AG69" s="159">
        <f>IF(G69="-","BadRank",SUM($C69:G69))</f>
        <v>500</v>
      </c>
      <c r="AH69" s="159">
        <f>IF(H69="-","BadRank",SUM($C69:H69))</f>
        <v>800</v>
      </c>
      <c r="AI69" s="159">
        <f>IF(I69="-","BadRank",SUM($C69:I69))</f>
        <v>1300</v>
      </c>
      <c r="AJ69" s="159" t="str">
        <f>IF(J69="-","BadRank",SUM($C69:J69))</f>
        <v>BadRank</v>
      </c>
      <c r="AK69" s="159" t="str">
        <f>IF(K69="-","BadRank",SUM($C69:K69))</f>
        <v>BadRank</v>
      </c>
      <c r="AL69" s="159" t="str">
        <f>IF(L69="-","BadRank",SUM($C69:L69))</f>
        <v>BadRank</v>
      </c>
      <c r="AM69" s="159" t="str">
        <f>IF(M69="-","BadRank",SUM($C69:M69))</f>
        <v>BadRank</v>
      </c>
    </row>
    <row r="70" spans="2:39" s="159" customFormat="1" ht="15">
      <c r="B70" s="159" t="s">
        <v>128</v>
      </c>
      <c r="C70" s="161">
        <v>30</v>
      </c>
      <c r="D70" s="161">
        <v>40</v>
      </c>
      <c r="E70" s="161">
        <v>50</v>
      </c>
      <c r="F70" s="161">
        <v>100</v>
      </c>
      <c r="G70" s="161">
        <v>200</v>
      </c>
      <c r="H70" s="161">
        <v>400</v>
      </c>
      <c r="I70" s="161">
        <v>700</v>
      </c>
      <c r="J70" s="161">
        <v>1500</v>
      </c>
      <c r="K70" s="161">
        <v>3000</v>
      </c>
      <c r="L70" s="161">
        <v>6000</v>
      </c>
      <c r="M70" s="161" t="s">
        <v>365</v>
      </c>
      <c r="N70" s="159">
        <v>12</v>
      </c>
      <c r="O70" s="159">
        <v>3</v>
      </c>
      <c r="P70" s="159">
        <v>35</v>
      </c>
      <c r="Q70" s="166">
        <v>-1</v>
      </c>
      <c r="R70" s="166" t="s">
        <v>373</v>
      </c>
      <c r="S70" s="166" t="s">
        <v>374</v>
      </c>
      <c r="T70" s="166" t="s">
        <v>376</v>
      </c>
      <c r="AC70" s="159">
        <f>SUM($C70)</f>
        <v>30</v>
      </c>
      <c r="AD70" s="159">
        <f>IF(D70="-","BadRank",SUM($C70:D70))</f>
        <v>70</v>
      </c>
      <c r="AE70" s="159">
        <f>IF(E70="-","BadRank",SUM($C70:E70))</f>
        <v>120</v>
      </c>
      <c r="AF70" s="159">
        <f>IF(F70="-","BadRank",SUM($C70:F70))</f>
        <v>220</v>
      </c>
      <c r="AG70" s="159">
        <f>IF(G70="-","BadRank",SUM($C70:G70))</f>
        <v>420</v>
      </c>
      <c r="AH70" s="159">
        <f>IF(H70="-","BadRank",SUM($C70:H70))</f>
        <v>820</v>
      </c>
      <c r="AI70" s="159">
        <f>IF(I70="-","BadRank",SUM($C70:I70))</f>
        <v>1520</v>
      </c>
      <c r="AJ70" s="159">
        <f>IF(J70="-","BadRank",SUM($C70:J70))</f>
        <v>3020</v>
      </c>
      <c r="AK70" s="159">
        <f>IF(K70="-","BadRank",SUM($C70:K70))</f>
        <v>6020</v>
      </c>
      <c r="AL70" s="159">
        <f>IF(L70="-","BadRank",SUM($C70:L70))</f>
        <v>12020</v>
      </c>
      <c r="AM70" s="159" t="str">
        <f>IF(M70="-","BadRank",SUM($C70:M70))</f>
        <v>BadRank</v>
      </c>
    </row>
    <row r="71" spans="2:39" s="159" customFormat="1" ht="15">
      <c r="B71" s="159" t="s">
        <v>362</v>
      </c>
      <c r="C71" s="161">
        <v>100</v>
      </c>
      <c r="D71" s="161">
        <v>200</v>
      </c>
      <c r="E71" s="161">
        <v>300</v>
      </c>
      <c r="F71" s="161">
        <v>600</v>
      </c>
      <c r="G71" s="161" t="s">
        <v>365</v>
      </c>
      <c r="H71" s="161" t="s">
        <v>365</v>
      </c>
      <c r="I71" s="161" t="s">
        <v>365</v>
      </c>
      <c r="J71" s="161" t="s">
        <v>365</v>
      </c>
      <c r="K71" s="161" t="s">
        <v>365</v>
      </c>
      <c r="L71" s="161" t="s">
        <v>365</v>
      </c>
      <c r="M71" s="161" t="s">
        <v>365</v>
      </c>
      <c r="N71" s="159">
        <v>12</v>
      </c>
      <c r="O71" s="159">
        <v>1</v>
      </c>
      <c r="P71" s="159">
        <v>30</v>
      </c>
      <c r="Q71" s="166">
        <v>3</v>
      </c>
      <c r="R71" s="166" t="s">
        <v>365</v>
      </c>
      <c r="S71" s="166" t="s">
        <v>374</v>
      </c>
      <c r="T71" s="166" t="s">
        <v>373</v>
      </c>
      <c r="AC71" s="159">
        <f>SUM($C71)</f>
        <v>100</v>
      </c>
      <c r="AD71" s="159">
        <f>IF(D71="-","BadRank",SUM($C71:D71))</f>
        <v>300</v>
      </c>
      <c r="AE71" s="159">
        <f>IF(E71="-","BadRank",SUM($C71:E71))</f>
        <v>600</v>
      </c>
      <c r="AF71" s="159">
        <f>IF(F71="-","BadRank",SUM($C71:F71))</f>
        <v>1200</v>
      </c>
      <c r="AG71" s="159" t="str">
        <f>IF(G71="-","BadRank",SUM($C71:G71))</f>
        <v>BadRank</v>
      </c>
      <c r="AH71" s="159" t="str">
        <f>IF(H71="-","BadRank",SUM($C71:H71))</f>
        <v>BadRank</v>
      </c>
      <c r="AI71" s="159" t="str">
        <f>IF(I71="-","BadRank",SUM($C71:I71))</f>
        <v>BadRank</v>
      </c>
      <c r="AJ71" s="159" t="str">
        <f>IF(J71="-","BadRank",SUM($C71:J71))</f>
        <v>BadRank</v>
      </c>
      <c r="AK71" s="159" t="str">
        <f>IF(K71="-","BadRank",SUM($C71:K71))</f>
        <v>BadRank</v>
      </c>
      <c r="AL71" s="159" t="str">
        <f>IF(L71="-","BadRank",SUM($C71:L71))</f>
        <v>BadRank</v>
      </c>
      <c r="AM71" s="159" t="str">
        <f>IF(M71="-","BadRank",SUM($C71:M71))</f>
        <v>BadRank</v>
      </c>
    </row>
    <row r="72" spans="2:39" ht="15">
      <c r="B72" t="s">
        <v>363</v>
      </c>
      <c r="C72" s="130">
        <v>25</v>
      </c>
      <c r="D72" s="130">
        <v>25</v>
      </c>
      <c r="E72" s="130">
        <v>50</v>
      </c>
      <c r="F72" s="130">
        <v>100</v>
      </c>
      <c r="G72" s="130">
        <v>200</v>
      </c>
      <c r="H72" s="130" t="s">
        <v>365</v>
      </c>
      <c r="I72" s="130" t="s">
        <v>365</v>
      </c>
      <c r="J72" s="130" t="s">
        <v>365</v>
      </c>
      <c r="K72" s="130" t="s">
        <v>365</v>
      </c>
      <c r="L72" s="130" t="s">
        <v>365</v>
      </c>
      <c r="M72" s="130" t="s">
        <v>365</v>
      </c>
      <c r="N72">
        <v>10</v>
      </c>
      <c r="O72"/>
      <c r="P72">
        <v>40</v>
      </c>
      <c r="Q72" s="165">
        <v>-2</v>
      </c>
      <c r="R72" s="165" t="s">
        <v>373</v>
      </c>
      <c r="S72" s="165" t="s">
        <v>374</v>
      </c>
      <c r="T72" s="165" t="s">
        <v>377</v>
      </c>
      <c r="U72"/>
      <c r="V72"/>
      <c r="AA72"/>
      <c r="AB72"/>
      <c r="AC72" s="83">
        <f>SUM($C72)</f>
        <v>25</v>
      </c>
      <c r="AD72" s="83">
        <f>IF(D72="-","BadRank",SUM($C72:D72))</f>
        <v>50</v>
      </c>
      <c r="AE72" s="83">
        <f>IF(E72="-","BadRank",SUM($C72:E72))</f>
        <v>100</v>
      </c>
      <c r="AF72" s="83">
        <f>IF(F72="-","BadRank",SUM($C72:F72))</f>
        <v>200</v>
      </c>
      <c r="AG72" s="83">
        <f>IF(G72="-","BadRank",SUM($C72:G72))</f>
        <v>400</v>
      </c>
      <c r="AH72" s="83" t="str">
        <f>IF(H72="-","BadRank",SUM($C72:H72))</f>
        <v>BadRank</v>
      </c>
      <c r="AI72" s="83" t="str">
        <f>IF(I72="-","BadRank",SUM($C72:I72))</f>
        <v>BadRank</v>
      </c>
      <c r="AJ72" s="83" t="str">
        <f>IF(J72="-","BadRank",SUM($C72:J72))</f>
        <v>BadRank</v>
      </c>
      <c r="AK72" s="83" t="str">
        <f>IF(K72="-","BadRank",SUM($C72:K72))</f>
        <v>BadRank</v>
      </c>
      <c r="AL72" s="83" t="str">
        <f>IF(L72="-","BadRank",SUM($C72:L72))</f>
        <v>BadRank</v>
      </c>
      <c r="AM72" s="83" t="str">
        <f>IF(M72="-","BadRank",SUM($C72:M72))</f>
        <v>BadRank</v>
      </c>
    </row>
    <row r="73" spans="2:39" ht="15">
      <c r="B73" t="s">
        <v>355</v>
      </c>
      <c r="C73" s="130">
        <v>150</v>
      </c>
      <c r="D73" s="130">
        <v>300</v>
      </c>
      <c r="E73" s="130">
        <v>450</v>
      </c>
      <c r="F73" s="130">
        <v>600</v>
      </c>
      <c r="G73" s="130">
        <v>800</v>
      </c>
      <c r="H73" s="130">
        <v>900</v>
      </c>
      <c r="I73" s="130">
        <v>1500</v>
      </c>
      <c r="J73" s="130">
        <v>3000</v>
      </c>
      <c r="K73" s="130">
        <v>4000</v>
      </c>
      <c r="L73" s="130">
        <v>5000</v>
      </c>
      <c r="M73" s="130">
        <v>4000</v>
      </c>
      <c r="N73"/>
      <c r="O73"/>
      <c r="P73"/>
      <c r="Q73" s="165">
        <v>-4</v>
      </c>
      <c r="R73" s="165" t="s">
        <v>373</v>
      </c>
      <c r="S73" s="165" t="s">
        <v>374</v>
      </c>
      <c r="T73" s="165" t="s">
        <v>376</v>
      </c>
      <c r="U73"/>
      <c r="V73"/>
      <c r="AA73"/>
      <c r="AB73"/>
      <c r="AC73" s="83">
        <f>SUM($C73)</f>
        <v>150</v>
      </c>
      <c r="AD73" s="83">
        <f>IF(D73="-","BadRank",SUM($C73:D73))</f>
        <v>450</v>
      </c>
      <c r="AE73" s="83">
        <f>IF(E73="-","BadRank",SUM($C73:E73))</f>
        <v>900</v>
      </c>
      <c r="AF73" s="83">
        <f>IF(F73="-","BadRank",SUM($C73:F73))</f>
        <v>1500</v>
      </c>
      <c r="AG73" s="83">
        <f>IF(G73="-","BadRank",SUM($C73:G73))</f>
        <v>2300</v>
      </c>
      <c r="AH73" s="83">
        <f>IF(H73="-","BadRank",SUM($C73:H73))</f>
        <v>3200</v>
      </c>
      <c r="AI73" s="83">
        <f>IF(I73="-","BadRank",SUM($C73:I73))</f>
        <v>4700</v>
      </c>
      <c r="AJ73" s="83">
        <f>IF(J73="-","BadRank",SUM($C73:J73))</f>
        <v>7700</v>
      </c>
      <c r="AK73" s="83">
        <f>IF(K73="-","BadRank",SUM($C73:K73))</f>
        <v>11700</v>
      </c>
      <c r="AL73" s="83">
        <f>IF(L73="-","BadRank",SUM($C73:L73))</f>
        <v>16700</v>
      </c>
      <c r="AM73" s="83">
        <f>IF(M73="-","BadRank",SUM($C73:M73))</f>
        <v>20700</v>
      </c>
    </row>
  </sheetData>
  <mergeCells count="2">
    <mergeCell ref="C1:M1"/>
    <mergeCell ref="AM1:AW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="60" zoomScaleNormal="60" workbookViewId="0" topLeftCell="A1">
      <selection activeCell="D11" sqref="D11"/>
    </sheetView>
  </sheetViews>
  <sheetFormatPr defaultColWidth="8.88671875" defaultRowHeight="15"/>
  <cols>
    <col min="1" max="1" width="6.3359375" style="0" customWidth="1"/>
    <col min="2" max="2" width="18.10546875" style="0" customWidth="1"/>
    <col min="3" max="3" width="25.6640625" style="0" customWidth="1"/>
    <col min="4" max="4" width="3.3359375" style="0" customWidth="1"/>
    <col min="5" max="5" width="6.5546875" style="0" customWidth="1"/>
    <col min="6" max="6" width="9.6640625" style="0" customWidth="1"/>
    <col min="7" max="7" width="5.5546875" style="0" customWidth="1"/>
    <col min="8" max="8" width="7.10546875" style="0" customWidth="1"/>
    <col min="9" max="9" width="8.10546875" style="0" customWidth="1"/>
    <col min="10" max="10" width="7.10546875" style="0" customWidth="1"/>
    <col min="11" max="11" width="1.66796875" style="0" customWidth="1"/>
    <col min="12" max="12" width="20.5546875" style="0" customWidth="1"/>
    <col min="13" max="16384" width="8.6640625" style="0" customWidth="1"/>
  </cols>
  <sheetData>
    <row r="1" spans="1:10" ht="30">
      <c r="A1" s="147" t="s">
        <v>536</v>
      </c>
      <c r="B1" s="148"/>
      <c r="C1" s="150"/>
      <c r="D1" s="148"/>
      <c r="E1" s="148"/>
      <c r="F1" s="148"/>
      <c r="G1" s="148"/>
      <c r="H1" s="148"/>
      <c r="I1" s="148"/>
      <c r="J1" s="149"/>
    </row>
    <row r="2" spans="1:10" ht="16.5" thickBot="1">
      <c r="A2" s="113" t="s">
        <v>290</v>
      </c>
      <c r="B2" s="114"/>
      <c r="C2" s="115"/>
      <c r="D2" s="116"/>
      <c r="E2" s="116"/>
      <c r="F2" s="116"/>
      <c r="G2" s="116"/>
      <c r="H2" s="116"/>
      <c r="I2" s="116"/>
      <c r="J2" s="117"/>
    </row>
    <row r="3" spans="1:10" ht="15.75">
      <c r="A3" s="427" t="s">
        <v>291</v>
      </c>
      <c r="B3" s="438"/>
      <c r="C3" s="126">
        <f>+'Character Record'!B4</f>
        <v>0</v>
      </c>
      <c r="D3" s="127"/>
      <c r="E3" s="126"/>
      <c r="F3" s="140"/>
      <c r="G3" s="127"/>
      <c r="H3" s="126"/>
      <c r="I3" s="126"/>
      <c r="J3" s="141"/>
    </row>
    <row r="4" spans="1:10" ht="16.5" thickBot="1">
      <c r="A4" s="441" t="s">
        <v>292</v>
      </c>
      <c r="B4" s="441"/>
      <c r="C4" s="381" t="str">
        <f>+IF(+'Character Record'!B12&lt;&gt;"",+'Character Record'!B12,"")</f>
        <v>ENSORCELMENTS AND ENCHANTMENTS</v>
      </c>
      <c r="D4" s="128"/>
      <c r="E4" s="128"/>
      <c r="F4" s="128"/>
      <c r="G4" s="128"/>
      <c r="H4" s="128"/>
      <c r="I4" s="128"/>
      <c r="J4" s="129"/>
    </row>
    <row r="5" spans="1:10" ht="15.75">
      <c r="A5" s="441" t="s">
        <v>293</v>
      </c>
      <c r="B5" s="441"/>
      <c r="C5" s="131"/>
      <c r="D5" s="564"/>
      <c r="E5" s="565"/>
      <c r="F5" s="565"/>
      <c r="G5" s="565"/>
      <c r="H5" s="565"/>
      <c r="I5" s="565"/>
      <c r="J5" s="566"/>
    </row>
    <row r="6" spans="1:10" ht="15">
      <c r="A6" s="442"/>
      <c r="B6" s="442"/>
      <c r="C6" s="131"/>
      <c r="D6" s="567"/>
      <c r="E6" s="526"/>
      <c r="F6" s="526"/>
      <c r="G6" s="526"/>
      <c r="H6" s="526"/>
      <c r="I6" s="526"/>
      <c r="J6" s="514"/>
    </row>
    <row r="7" spans="1:10" ht="15">
      <c r="A7" s="442"/>
      <c r="B7" s="442"/>
      <c r="C7" s="131"/>
      <c r="D7" s="567"/>
      <c r="E7" s="526"/>
      <c r="F7" s="526"/>
      <c r="G7" s="526"/>
      <c r="H7" s="526"/>
      <c r="I7" s="526"/>
      <c r="J7" s="514"/>
    </row>
    <row r="8" spans="1:12" ht="18.75" thickBot="1">
      <c r="A8" s="262"/>
      <c r="B8" s="262"/>
      <c r="C8" s="488"/>
      <c r="D8" s="561"/>
      <c r="E8" s="562"/>
      <c r="F8" s="562"/>
      <c r="G8" s="562"/>
      <c r="H8" s="562"/>
      <c r="I8" s="562"/>
      <c r="J8" s="563"/>
      <c r="L8" s="121" t="s">
        <v>206</v>
      </c>
    </row>
    <row r="9" spans="1:12" ht="18.75" thickBot="1">
      <c r="A9" s="489" t="s">
        <v>294</v>
      </c>
      <c r="B9" s="490" t="s">
        <v>295</v>
      </c>
      <c r="C9" s="491" t="s">
        <v>296</v>
      </c>
      <c r="D9" s="492" t="s">
        <v>297</v>
      </c>
      <c r="E9" s="492" t="s">
        <v>302</v>
      </c>
      <c r="F9" s="492" t="s">
        <v>688</v>
      </c>
      <c r="G9" s="492" t="s">
        <v>298</v>
      </c>
      <c r="H9" s="492" t="s">
        <v>299</v>
      </c>
      <c r="I9" s="521" t="s">
        <v>305</v>
      </c>
      <c r="J9" s="493" t="s">
        <v>301</v>
      </c>
      <c r="L9" s="122" t="s">
        <v>212</v>
      </c>
    </row>
    <row r="10" spans="1:12" s="123" customFormat="1" ht="18">
      <c r="A10" s="451" t="s">
        <v>723</v>
      </c>
      <c r="B10" s="452" t="s">
        <v>724</v>
      </c>
      <c r="C10" s="453" t="s">
        <v>725</v>
      </c>
      <c r="D10" s="454">
        <v>0</v>
      </c>
      <c r="E10" s="454">
        <f>25+25*D10</f>
        <v>25</v>
      </c>
      <c r="F10" s="454">
        <f>10+1*D10</f>
        <v>10</v>
      </c>
      <c r="G10" s="454">
        <v>100</v>
      </c>
      <c r="H10" s="454">
        <v>40</v>
      </c>
      <c r="I10" s="520">
        <f>+IF(D10&lt;&gt;"",+H10+D10*3+MA-15,"")</f>
        <v>40</v>
      </c>
      <c r="J10" s="456" t="s">
        <v>374</v>
      </c>
      <c r="L10" s="102">
        <f aca="true" t="shared" si="0" ref="L10:L40">D10/2*(D10+1)*G10*(100+((15-MA)*5))/100</f>
        <v>0</v>
      </c>
    </row>
    <row r="11" spans="1:12" s="123" customFormat="1" ht="18">
      <c r="A11" s="457" t="s">
        <v>723</v>
      </c>
      <c r="B11" s="458" t="s">
        <v>726</v>
      </c>
      <c r="C11" s="459" t="s">
        <v>725</v>
      </c>
      <c r="D11" s="460">
        <v>0</v>
      </c>
      <c r="E11" s="460">
        <f>25+25*D11</f>
        <v>25</v>
      </c>
      <c r="F11" s="460">
        <f>10+1*D11</f>
        <v>10</v>
      </c>
      <c r="G11" s="460">
        <v>200</v>
      </c>
      <c r="H11" s="460">
        <v>40</v>
      </c>
      <c r="I11" s="520">
        <f>+IF(D11&lt;&gt;"",+H11+D11*3+MA-15,"")</f>
        <v>40</v>
      </c>
      <c r="J11" s="461" t="s">
        <v>374</v>
      </c>
      <c r="L11" s="102">
        <f t="shared" si="0"/>
        <v>0</v>
      </c>
    </row>
    <row r="12" spans="1:12" s="123" customFormat="1" ht="18">
      <c r="A12" s="457" t="s">
        <v>727</v>
      </c>
      <c r="B12" s="458" t="s">
        <v>728</v>
      </c>
      <c r="C12" s="459" t="s">
        <v>729</v>
      </c>
      <c r="D12" s="460">
        <v>0</v>
      </c>
      <c r="E12" s="462" t="s">
        <v>634</v>
      </c>
      <c r="F12" s="462" t="s">
        <v>634</v>
      </c>
      <c r="G12" s="460">
        <v>200</v>
      </c>
      <c r="H12" s="462" t="s">
        <v>634</v>
      </c>
      <c r="I12" s="142" t="s">
        <v>634</v>
      </c>
      <c r="J12" s="461" t="s">
        <v>730</v>
      </c>
      <c r="L12" s="102">
        <f t="shared" si="0"/>
        <v>0</v>
      </c>
    </row>
    <row r="13" spans="1:12" s="123" customFormat="1" ht="18">
      <c r="A13" s="457" t="s">
        <v>727</v>
      </c>
      <c r="B13" s="458" t="s">
        <v>731</v>
      </c>
      <c r="C13" s="459"/>
      <c r="D13" s="460">
        <v>0</v>
      </c>
      <c r="E13" s="462" t="s">
        <v>634</v>
      </c>
      <c r="F13" s="462" t="s">
        <v>634</v>
      </c>
      <c r="G13" s="460">
        <v>300</v>
      </c>
      <c r="H13" s="460">
        <f>MA</f>
        <v>15</v>
      </c>
      <c r="I13" s="380">
        <f>+IF(D13&lt;&gt;"",+H13+D13*3)</f>
        <v>15</v>
      </c>
      <c r="J13" s="461" t="s">
        <v>730</v>
      </c>
      <c r="L13" s="102">
        <f t="shared" si="0"/>
        <v>0</v>
      </c>
    </row>
    <row r="14" spans="1:12" s="123" customFormat="1" ht="18.75" thickBot="1">
      <c r="A14" s="463" t="s">
        <v>727</v>
      </c>
      <c r="B14" s="464" t="s">
        <v>732</v>
      </c>
      <c r="C14" s="465"/>
      <c r="D14" s="466">
        <v>0</v>
      </c>
      <c r="E14" s="467" t="s">
        <v>634</v>
      </c>
      <c r="F14" s="467" t="s">
        <v>634</v>
      </c>
      <c r="G14" s="466">
        <v>400</v>
      </c>
      <c r="H14" s="466">
        <f>MA</f>
        <v>15</v>
      </c>
      <c r="I14" s="468">
        <f>+IF(D14&lt;&gt;"",+H14+D14*3)</f>
        <v>15</v>
      </c>
      <c r="J14" s="469" t="s">
        <v>730</v>
      </c>
      <c r="L14" s="102">
        <f t="shared" si="0"/>
        <v>0</v>
      </c>
    </row>
    <row r="15" spans="1:12" s="123" customFormat="1" ht="18.75" thickBot="1">
      <c r="A15" s="470" t="s">
        <v>733</v>
      </c>
      <c r="B15" s="471" t="s">
        <v>734</v>
      </c>
      <c r="C15" s="472"/>
      <c r="D15" s="473">
        <v>0</v>
      </c>
      <c r="E15" s="473"/>
      <c r="F15" s="474" t="s">
        <v>634</v>
      </c>
      <c r="G15" s="473">
        <v>150</v>
      </c>
      <c r="H15" s="473">
        <f>PC</f>
        <v>8</v>
      </c>
      <c r="I15" s="475">
        <f>+IF(D15&lt;&gt;"",+H15+D15*4)</f>
        <v>8</v>
      </c>
      <c r="J15" s="476" t="s">
        <v>730</v>
      </c>
      <c r="L15" s="102">
        <f t="shared" si="0"/>
        <v>0</v>
      </c>
    </row>
    <row r="16" spans="1:12" s="123" customFormat="1" ht="18">
      <c r="A16" s="477" t="s">
        <v>735</v>
      </c>
      <c r="B16" s="453" t="s">
        <v>736</v>
      </c>
      <c r="C16" s="453" t="s">
        <v>737</v>
      </c>
      <c r="D16" s="454">
        <v>0</v>
      </c>
      <c r="E16" s="454">
        <f>15+15*D16</f>
        <v>15</v>
      </c>
      <c r="F16" s="454">
        <f>1+1*D16</f>
        <v>1</v>
      </c>
      <c r="G16" s="454">
        <v>500</v>
      </c>
      <c r="H16" s="454">
        <v>15</v>
      </c>
      <c r="I16" s="455">
        <f>+IF(D16&lt;&gt;"",+H16+D16*3+MA-15,"")</f>
        <v>15</v>
      </c>
      <c r="J16" s="456" t="s">
        <v>738</v>
      </c>
      <c r="L16" s="102">
        <f t="shared" si="0"/>
        <v>0</v>
      </c>
    </row>
    <row r="17" spans="1:12" s="123" customFormat="1" ht="18">
      <c r="A17" s="478" t="s">
        <v>739</v>
      </c>
      <c r="B17" s="459" t="s">
        <v>740</v>
      </c>
      <c r="C17" s="459" t="s">
        <v>741</v>
      </c>
      <c r="D17" s="460">
        <v>0</v>
      </c>
      <c r="E17" s="460">
        <f>15+15*D17</f>
        <v>15</v>
      </c>
      <c r="F17" s="460">
        <f>10+D17*10</f>
        <v>10</v>
      </c>
      <c r="G17" s="460">
        <v>300</v>
      </c>
      <c r="H17" s="460">
        <v>20</v>
      </c>
      <c r="I17" s="380">
        <f>+IF(D17&lt;&gt;"",+H17+D17*3+MA-15,"")</f>
        <v>20</v>
      </c>
      <c r="J17" s="461" t="s">
        <v>730</v>
      </c>
      <c r="L17" s="102">
        <f t="shared" si="0"/>
        <v>0</v>
      </c>
    </row>
    <row r="18" spans="1:12" s="123" customFormat="1" ht="18">
      <c r="A18" s="478" t="s">
        <v>742</v>
      </c>
      <c r="B18" s="459" t="s">
        <v>743</v>
      </c>
      <c r="C18" s="459" t="s">
        <v>737</v>
      </c>
      <c r="D18" s="460">
        <v>0</v>
      </c>
      <c r="E18" s="460">
        <f>15+15*D18</f>
        <v>15</v>
      </c>
      <c r="F18" s="460">
        <f>1+1*D18</f>
        <v>1</v>
      </c>
      <c r="G18" s="460">
        <v>250</v>
      </c>
      <c r="H18" s="460">
        <v>15</v>
      </c>
      <c r="I18" s="380">
        <f aca="true" t="shared" si="1" ref="I18:I23">+IF(D18&lt;&gt;"",+H18+D18*3+MA-15,"")</f>
        <v>15</v>
      </c>
      <c r="J18" s="461" t="s">
        <v>738</v>
      </c>
      <c r="L18" s="102">
        <f t="shared" si="0"/>
        <v>0</v>
      </c>
    </row>
    <row r="19" spans="1:12" s="123" customFormat="1" ht="18">
      <c r="A19" s="478" t="s">
        <v>744</v>
      </c>
      <c r="B19" s="459" t="s">
        <v>745</v>
      </c>
      <c r="C19" s="459" t="s">
        <v>746</v>
      </c>
      <c r="D19" s="460">
        <v>0</v>
      </c>
      <c r="E19" s="460">
        <f>1+1*D19</f>
        <v>1</v>
      </c>
      <c r="F19" s="460">
        <f>1+1*D19</f>
        <v>1</v>
      </c>
      <c r="G19" s="460">
        <v>100</v>
      </c>
      <c r="H19" s="460">
        <v>40</v>
      </c>
      <c r="I19" s="380">
        <f t="shared" si="1"/>
        <v>40</v>
      </c>
      <c r="J19" s="461" t="s">
        <v>730</v>
      </c>
      <c r="L19" s="102">
        <f t="shared" si="0"/>
        <v>0</v>
      </c>
    </row>
    <row r="20" spans="1:15" s="123" customFormat="1" ht="18">
      <c r="A20" s="478" t="s">
        <v>747</v>
      </c>
      <c r="B20" s="459" t="s">
        <v>748</v>
      </c>
      <c r="C20" s="459" t="s">
        <v>749</v>
      </c>
      <c r="D20" s="460">
        <v>0</v>
      </c>
      <c r="E20" s="460">
        <f>15+15*D20</f>
        <v>15</v>
      </c>
      <c r="F20" s="460">
        <f>10+10*D20</f>
        <v>10</v>
      </c>
      <c r="G20" s="460">
        <v>100</v>
      </c>
      <c r="H20" s="460">
        <v>40</v>
      </c>
      <c r="I20" s="380">
        <f t="shared" si="1"/>
        <v>40</v>
      </c>
      <c r="J20" s="461" t="s">
        <v>730</v>
      </c>
      <c r="L20" s="102">
        <f t="shared" si="0"/>
        <v>0</v>
      </c>
      <c r="O20" s="123" t="s">
        <v>352</v>
      </c>
    </row>
    <row r="21" spans="1:12" s="123" customFormat="1" ht="18">
      <c r="A21" s="478" t="s">
        <v>750</v>
      </c>
      <c r="B21" s="459" t="s">
        <v>751</v>
      </c>
      <c r="C21" s="459" t="s">
        <v>752</v>
      </c>
      <c r="D21" s="460">
        <v>0</v>
      </c>
      <c r="E21" s="460">
        <f>10+5*D21</f>
        <v>10</v>
      </c>
      <c r="F21" s="460">
        <f>1+1*D21</f>
        <v>1</v>
      </c>
      <c r="G21" s="460">
        <v>200</v>
      </c>
      <c r="H21" s="460">
        <v>15</v>
      </c>
      <c r="I21" s="380">
        <f t="shared" si="1"/>
        <v>15</v>
      </c>
      <c r="J21" s="461" t="s">
        <v>730</v>
      </c>
      <c r="L21" s="102">
        <f t="shared" si="0"/>
        <v>0</v>
      </c>
    </row>
    <row r="22" spans="1:12" s="123" customFormat="1" ht="18">
      <c r="A22" s="478" t="s">
        <v>753</v>
      </c>
      <c r="B22" s="459" t="s">
        <v>754</v>
      </c>
      <c r="C22" s="459" t="s">
        <v>755</v>
      </c>
      <c r="D22" s="460">
        <v>0</v>
      </c>
      <c r="E22" s="460">
        <f>15+15*D22</f>
        <v>15</v>
      </c>
      <c r="F22" s="462" t="s">
        <v>634</v>
      </c>
      <c r="G22" s="460">
        <v>850</v>
      </c>
      <c r="H22" s="460">
        <v>5</v>
      </c>
      <c r="I22" s="380">
        <f t="shared" si="1"/>
        <v>5</v>
      </c>
      <c r="J22" s="461" t="s">
        <v>738</v>
      </c>
      <c r="L22" s="102">
        <f t="shared" si="0"/>
        <v>0</v>
      </c>
    </row>
    <row r="23" spans="1:12" s="123" customFormat="1" ht="18">
      <c r="A23" s="478" t="s">
        <v>756</v>
      </c>
      <c r="B23" s="459" t="s">
        <v>757</v>
      </c>
      <c r="C23" s="459" t="s">
        <v>758</v>
      </c>
      <c r="D23" s="460">
        <v>0</v>
      </c>
      <c r="E23" s="460">
        <f>15+15*D23</f>
        <v>15</v>
      </c>
      <c r="F23" s="460">
        <f>5+5*D23</f>
        <v>5</v>
      </c>
      <c r="G23" s="460">
        <v>450</v>
      </c>
      <c r="H23" s="460">
        <v>45</v>
      </c>
      <c r="I23" s="380">
        <f t="shared" si="1"/>
        <v>45</v>
      </c>
      <c r="J23" s="461" t="s">
        <v>730</v>
      </c>
      <c r="L23" s="102">
        <f t="shared" si="0"/>
        <v>0</v>
      </c>
    </row>
    <row r="24" spans="1:12" s="123" customFormat="1" ht="18.75" thickBot="1">
      <c r="A24" s="479" t="s">
        <v>759</v>
      </c>
      <c r="B24" s="465" t="s">
        <v>760</v>
      </c>
      <c r="C24" s="465" t="s">
        <v>761</v>
      </c>
      <c r="D24" s="466">
        <v>0</v>
      </c>
      <c r="E24" s="466">
        <f>15+15*D24</f>
        <v>15</v>
      </c>
      <c r="F24" s="466">
        <f>1+1*D24</f>
        <v>1</v>
      </c>
      <c r="G24" s="466">
        <v>300</v>
      </c>
      <c r="H24" s="466">
        <v>20</v>
      </c>
      <c r="I24" s="468">
        <f>+IF(D24&lt;&gt;"",+H24+D24*3+MA-15,"")</f>
        <v>20</v>
      </c>
      <c r="J24" s="469" t="s">
        <v>374</v>
      </c>
      <c r="L24" s="102">
        <f t="shared" si="0"/>
        <v>0</v>
      </c>
    </row>
    <row r="25" spans="1:12" s="123" customFormat="1" ht="18">
      <c r="A25" s="480" t="s">
        <v>762</v>
      </c>
      <c r="B25" s="481" t="s">
        <v>763</v>
      </c>
      <c r="C25" s="482" t="s">
        <v>764</v>
      </c>
      <c r="D25" s="454">
        <v>0</v>
      </c>
      <c r="E25" s="454" t="s">
        <v>765</v>
      </c>
      <c r="F25" s="454" t="s">
        <v>766</v>
      </c>
      <c r="G25" s="454">
        <v>125</v>
      </c>
      <c r="H25" s="454">
        <v>80</v>
      </c>
      <c r="I25" s="455">
        <f>+IF(D25&lt;&gt;"",+H25+D25*1)</f>
        <v>80</v>
      </c>
      <c r="J25" s="456" t="s">
        <v>730</v>
      </c>
      <c r="L25" s="102">
        <f t="shared" si="0"/>
        <v>0</v>
      </c>
    </row>
    <row r="26" spans="1:12" s="123" customFormat="1" ht="18">
      <c r="A26" s="483" t="s">
        <v>767</v>
      </c>
      <c r="B26" s="484" t="s">
        <v>768</v>
      </c>
      <c r="C26" s="459"/>
      <c r="D26" s="460">
        <v>0</v>
      </c>
      <c r="E26" s="460" t="s">
        <v>765</v>
      </c>
      <c r="F26" s="460"/>
      <c r="G26" s="460">
        <v>200</v>
      </c>
      <c r="H26" s="460">
        <v>75</v>
      </c>
      <c r="I26" s="380">
        <f>+IF(D26&lt;&gt;"",+H26+D26*1)</f>
        <v>75</v>
      </c>
      <c r="J26" s="461" t="s">
        <v>730</v>
      </c>
      <c r="L26" s="102">
        <f t="shared" si="0"/>
        <v>0</v>
      </c>
    </row>
    <row r="27" spans="1:12" s="123" customFormat="1" ht="18">
      <c r="A27" s="483" t="s">
        <v>769</v>
      </c>
      <c r="B27" s="484" t="s">
        <v>770</v>
      </c>
      <c r="C27" s="459"/>
      <c r="D27" s="460">
        <v>0</v>
      </c>
      <c r="E27" s="460" t="s">
        <v>765</v>
      </c>
      <c r="F27" s="460"/>
      <c r="G27" s="460">
        <v>250</v>
      </c>
      <c r="H27" s="460">
        <v>80</v>
      </c>
      <c r="I27" s="380">
        <f>+IF(D27&lt;&gt;"",+H27+D27*1)</f>
        <v>80</v>
      </c>
      <c r="J27" s="461" t="s">
        <v>730</v>
      </c>
      <c r="L27" s="102">
        <f t="shared" si="0"/>
        <v>0</v>
      </c>
    </row>
    <row r="28" spans="1:12" s="123" customFormat="1" ht="18.75" thickBot="1">
      <c r="A28" s="485" t="s">
        <v>771</v>
      </c>
      <c r="B28" s="486" t="s">
        <v>772</v>
      </c>
      <c r="C28" s="465"/>
      <c r="D28" s="466">
        <v>0</v>
      </c>
      <c r="E28" s="466" t="s">
        <v>765</v>
      </c>
      <c r="F28" s="466"/>
      <c r="G28" s="466">
        <v>250</v>
      </c>
      <c r="H28" s="466">
        <v>80</v>
      </c>
      <c r="I28" s="468">
        <f>+IF(D28&lt;&gt;"",+H28+D28*1)</f>
        <v>80</v>
      </c>
      <c r="J28" s="469" t="s">
        <v>730</v>
      </c>
      <c r="L28" s="102">
        <f t="shared" si="0"/>
        <v>0</v>
      </c>
    </row>
    <row r="29" spans="1:12" s="123" customFormat="1" ht="18">
      <c r="A29" s="477" t="s">
        <v>773</v>
      </c>
      <c r="B29" s="453" t="s">
        <v>774</v>
      </c>
      <c r="C29" s="453" t="s">
        <v>758</v>
      </c>
      <c r="D29" s="454"/>
      <c r="E29" s="454">
        <f>90+5*D29</f>
        <v>90</v>
      </c>
      <c r="F29" s="454">
        <f>5+3*D29</f>
        <v>5</v>
      </c>
      <c r="G29" s="454">
        <v>100</v>
      </c>
      <c r="H29" s="454">
        <v>60</v>
      </c>
      <c r="I29" s="455">
        <f>+IF(D29&lt;&gt;"",+H29+D29*3+MA-15,"")</f>
      </c>
      <c r="J29" s="456" t="s">
        <v>730</v>
      </c>
      <c r="L29" s="102">
        <f t="shared" si="0"/>
        <v>0</v>
      </c>
    </row>
    <row r="30" spans="1:12" s="123" customFormat="1" ht="18">
      <c r="A30" s="478" t="s">
        <v>775</v>
      </c>
      <c r="B30" s="459" t="s">
        <v>776</v>
      </c>
      <c r="C30" s="459" t="s">
        <v>777</v>
      </c>
      <c r="D30" s="460"/>
      <c r="E30" s="460">
        <f>15+15*D30</f>
        <v>15</v>
      </c>
      <c r="F30" s="462" t="s">
        <v>634</v>
      </c>
      <c r="G30" s="460">
        <v>200</v>
      </c>
      <c r="H30" s="460">
        <v>50</v>
      </c>
      <c r="I30" s="380">
        <f>+IF(D30&lt;&gt;"",+H30+D30*3+MA-15,"")</f>
      </c>
      <c r="J30" s="461" t="s">
        <v>374</v>
      </c>
      <c r="L30" s="102">
        <f t="shared" si="0"/>
        <v>0</v>
      </c>
    </row>
    <row r="31" spans="1:12" s="123" customFormat="1" ht="18">
      <c r="A31" s="478" t="s">
        <v>778</v>
      </c>
      <c r="B31" s="459" t="s">
        <v>779</v>
      </c>
      <c r="C31" s="459" t="s">
        <v>418</v>
      </c>
      <c r="D31" s="460"/>
      <c r="E31" s="460">
        <f>15+7.5*D31</f>
        <v>15</v>
      </c>
      <c r="F31" s="462" t="s">
        <v>634</v>
      </c>
      <c r="G31" s="460">
        <v>150</v>
      </c>
      <c r="H31" s="460">
        <v>30</v>
      </c>
      <c r="I31" s="380">
        <f aca="true" t="shared" si="2" ref="I31:I39">+IF(D31&lt;&gt;"",+H31+D31*3+MA-15,"")</f>
      </c>
      <c r="J31" s="461" t="s">
        <v>730</v>
      </c>
      <c r="L31" s="102">
        <f t="shared" si="0"/>
        <v>0</v>
      </c>
    </row>
    <row r="32" spans="1:12" s="123" customFormat="1" ht="18">
      <c r="A32" s="478" t="s">
        <v>780</v>
      </c>
      <c r="B32" s="459" t="s">
        <v>781</v>
      </c>
      <c r="C32" s="459" t="s">
        <v>782</v>
      </c>
      <c r="D32" s="460"/>
      <c r="E32" s="460">
        <f>5+5*D32</f>
        <v>5</v>
      </c>
      <c r="F32" s="460">
        <f>40+40*D32</f>
        <v>40</v>
      </c>
      <c r="G32" s="460">
        <v>250</v>
      </c>
      <c r="H32" s="460">
        <v>30</v>
      </c>
      <c r="I32" s="380">
        <f t="shared" si="2"/>
      </c>
      <c r="J32" s="461" t="s">
        <v>730</v>
      </c>
      <c r="L32" s="102">
        <f t="shared" si="0"/>
        <v>0</v>
      </c>
    </row>
    <row r="33" spans="1:12" s="123" customFormat="1" ht="18">
      <c r="A33" s="478" t="s">
        <v>783</v>
      </c>
      <c r="B33" s="459" t="s">
        <v>784</v>
      </c>
      <c r="C33" s="459" t="s">
        <v>758</v>
      </c>
      <c r="D33" s="460"/>
      <c r="E33" s="460">
        <f aca="true" t="shared" si="3" ref="E33:E40">15+15*D33</f>
        <v>15</v>
      </c>
      <c r="F33" s="460">
        <f>15+15*D33</f>
        <v>15</v>
      </c>
      <c r="G33" s="460">
        <v>150</v>
      </c>
      <c r="H33" s="460">
        <v>35</v>
      </c>
      <c r="I33" s="380">
        <f t="shared" si="2"/>
      </c>
      <c r="J33" s="461" t="s">
        <v>374</v>
      </c>
      <c r="L33" s="102">
        <f t="shared" si="0"/>
        <v>0</v>
      </c>
    </row>
    <row r="34" spans="1:12" s="123" customFormat="1" ht="18">
      <c r="A34" s="478" t="s">
        <v>785</v>
      </c>
      <c r="B34" s="459" t="s">
        <v>786</v>
      </c>
      <c r="C34" s="459" t="s">
        <v>787</v>
      </c>
      <c r="D34" s="460"/>
      <c r="E34" s="460">
        <f t="shared" si="3"/>
        <v>15</v>
      </c>
      <c r="F34" s="460">
        <f>1+1*D34</f>
        <v>1</v>
      </c>
      <c r="G34" s="460">
        <v>150</v>
      </c>
      <c r="H34" s="460">
        <v>30</v>
      </c>
      <c r="I34" s="380">
        <f t="shared" si="2"/>
      </c>
      <c r="J34" s="461" t="s">
        <v>730</v>
      </c>
      <c r="L34" s="102">
        <f t="shared" si="0"/>
        <v>0</v>
      </c>
    </row>
    <row r="35" spans="1:12" s="123" customFormat="1" ht="18">
      <c r="A35" s="478" t="s">
        <v>788</v>
      </c>
      <c r="B35" s="459" t="s">
        <v>789</v>
      </c>
      <c r="C35" s="459" t="s">
        <v>782</v>
      </c>
      <c r="D35" s="460"/>
      <c r="E35" s="460">
        <f t="shared" si="3"/>
        <v>15</v>
      </c>
      <c r="F35" s="460">
        <f>10+5*D35</f>
        <v>10</v>
      </c>
      <c r="G35" s="460">
        <v>300</v>
      </c>
      <c r="H35" s="460">
        <v>25</v>
      </c>
      <c r="I35" s="380">
        <f t="shared" si="2"/>
      </c>
      <c r="J35" s="461" t="s">
        <v>374</v>
      </c>
      <c r="L35" s="102">
        <f t="shared" si="0"/>
        <v>0</v>
      </c>
    </row>
    <row r="36" spans="1:12" s="123" customFormat="1" ht="18">
      <c r="A36" s="478" t="s">
        <v>790</v>
      </c>
      <c r="B36" s="459" t="s">
        <v>791</v>
      </c>
      <c r="C36" s="459" t="s">
        <v>100</v>
      </c>
      <c r="D36" s="460"/>
      <c r="E36" s="460">
        <f t="shared" si="3"/>
        <v>15</v>
      </c>
      <c r="F36" s="460">
        <f>20*D36</f>
        <v>0</v>
      </c>
      <c r="G36" s="460">
        <v>125</v>
      </c>
      <c r="H36" s="460">
        <v>25</v>
      </c>
      <c r="I36" s="380">
        <f t="shared" si="2"/>
      </c>
      <c r="J36" s="461" t="s">
        <v>738</v>
      </c>
      <c r="L36" s="102">
        <f t="shared" si="0"/>
        <v>0</v>
      </c>
    </row>
    <row r="37" spans="1:12" s="123" customFormat="1" ht="18">
      <c r="A37" s="478" t="s">
        <v>792</v>
      </c>
      <c r="B37" s="459" t="s">
        <v>793</v>
      </c>
      <c r="C37" s="459" t="s">
        <v>758</v>
      </c>
      <c r="D37" s="460"/>
      <c r="E37" s="460">
        <f t="shared" si="3"/>
        <v>15</v>
      </c>
      <c r="F37" s="460">
        <f>30+30*D37</f>
        <v>30</v>
      </c>
      <c r="G37" s="460">
        <v>200</v>
      </c>
      <c r="H37" s="460">
        <v>20</v>
      </c>
      <c r="I37" s="380">
        <f t="shared" si="2"/>
      </c>
      <c r="J37" s="461" t="s">
        <v>730</v>
      </c>
      <c r="L37" s="102">
        <f t="shared" si="0"/>
        <v>0</v>
      </c>
    </row>
    <row r="38" spans="1:12" s="123" customFormat="1" ht="18">
      <c r="A38" s="478" t="s">
        <v>794</v>
      </c>
      <c r="B38" s="459" t="s">
        <v>795</v>
      </c>
      <c r="C38" s="459" t="s">
        <v>758</v>
      </c>
      <c r="D38" s="460"/>
      <c r="E38" s="460">
        <f t="shared" si="3"/>
        <v>15</v>
      </c>
      <c r="F38" s="460">
        <f>1+1*D38</f>
        <v>1</v>
      </c>
      <c r="G38" s="460">
        <v>200</v>
      </c>
      <c r="H38" s="460">
        <v>20</v>
      </c>
      <c r="I38" s="380">
        <f t="shared" si="2"/>
      </c>
      <c r="J38" s="461" t="s">
        <v>730</v>
      </c>
      <c r="L38" s="102">
        <f t="shared" si="0"/>
        <v>0</v>
      </c>
    </row>
    <row r="39" spans="1:12" s="123" customFormat="1" ht="18">
      <c r="A39" s="478" t="s">
        <v>796</v>
      </c>
      <c r="B39" s="459" t="s">
        <v>797</v>
      </c>
      <c r="C39" s="459" t="s">
        <v>782</v>
      </c>
      <c r="D39" s="460"/>
      <c r="E39" s="460">
        <f t="shared" si="3"/>
        <v>15</v>
      </c>
      <c r="F39" s="460">
        <f>20+20*D39</f>
        <v>20</v>
      </c>
      <c r="G39" s="460">
        <v>300</v>
      </c>
      <c r="H39" s="460">
        <v>20</v>
      </c>
      <c r="I39" s="380">
        <f t="shared" si="2"/>
      </c>
      <c r="J39" s="461" t="s">
        <v>738</v>
      </c>
      <c r="L39" s="102">
        <f t="shared" si="0"/>
        <v>0</v>
      </c>
    </row>
    <row r="40" spans="1:12" s="123" customFormat="1" ht="18.75" thickBot="1">
      <c r="A40" s="479" t="s">
        <v>798</v>
      </c>
      <c r="B40" s="465" t="s">
        <v>799</v>
      </c>
      <c r="C40" s="465" t="s">
        <v>782</v>
      </c>
      <c r="D40" s="466"/>
      <c r="E40" s="466">
        <f t="shared" si="3"/>
        <v>15</v>
      </c>
      <c r="F40" s="466">
        <f>20+20*D40</f>
        <v>20</v>
      </c>
      <c r="G40" s="466">
        <v>300</v>
      </c>
      <c r="H40" s="466">
        <v>20</v>
      </c>
      <c r="I40" s="468">
        <f>+IF(D40&lt;&gt;"",+H40+D40*3+MA-15,"")</f>
      </c>
      <c r="J40" s="469" t="s">
        <v>738</v>
      </c>
      <c r="L40" s="102">
        <f t="shared" si="0"/>
        <v>0</v>
      </c>
    </row>
    <row r="41" spans="1:12" s="123" customFormat="1" ht="18">
      <c r="A41" s="421"/>
      <c r="B41" s="418"/>
      <c r="C41" s="419"/>
      <c r="D41" s="417"/>
      <c r="E41" s="420"/>
      <c r="F41" s="420"/>
      <c r="G41" s="417"/>
      <c r="H41" s="417"/>
      <c r="I41" s="423"/>
      <c r="J41" s="417"/>
      <c r="K41" s="124"/>
      <c r="L41" s="422">
        <f>SUM(L10:L40)</f>
        <v>0</v>
      </c>
    </row>
    <row r="42" spans="1:12" s="123" customFormat="1" ht="18">
      <c r="A42" s="123" t="s">
        <v>350</v>
      </c>
      <c r="F42" s="125" t="s">
        <v>459</v>
      </c>
      <c r="L42" s="143">
        <f>+'Character Record'!Q53</f>
        <v>1</v>
      </c>
    </row>
    <row r="43" spans="1:12" s="123" customFormat="1" ht="18">
      <c r="A43" s="123" t="s">
        <v>351</v>
      </c>
      <c r="F43" s="125" t="s">
        <v>303</v>
      </c>
      <c r="L43" s="144">
        <f>+L41*L42</f>
        <v>0</v>
      </c>
    </row>
    <row r="44" spans="11:12" ht="18">
      <c r="K44" s="123"/>
      <c r="L44" s="145"/>
    </row>
    <row r="45" spans="6:12" ht="18">
      <c r="F45" s="130" t="s">
        <v>304</v>
      </c>
      <c r="L45" s="145">
        <f>+'Character Record'!U53</f>
        <v>0</v>
      </c>
    </row>
    <row r="46" spans="6:12" ht="18.75" thickBot="1">
      <c r="F46" s="130" t="s">
        <v>463</v>
      </c>
      <c r="L46" s="146">
        <f>+L43+L45</f>
        <v>0</v>
      </c>
    </row>
    <row r="47" ht="15.75" thickTop="1"/>
  </sheetData>
  <mergeCells count="4">
    <mergeCell ref="D8:J8"/>
    <mergeCell ref="D5:J5"/>
    <mergeCell ref="D6:J6"/>
    <mergeCell ref="D7:J7"/>
  </mergeCells>
  <printOptions/>
  <pageMargins left="0.5" right="0.3" top="0.3" bottom="0.3" header="0.5" footer="0.5"/>
  <pageSetup fitToHeight="1" fitToWidth="1" horizontalDpi="300" verticalDpi="300" orientation="portrait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A28" sqref="C28:E28"/>
    </sheetView>
  </sheetViews>
  <sheetFormatPr defaultColWidth="8.88671875" defaultRowHeight="15"/>
  <cols>
    <col min="1" max="1" width="9.4453125" style="0" customWidth="1"/>
    <col min="2" max="2" width="4.99609375" style="0" customWidth="1"/>
    <col min="3" max="3" width="6.88671875" style="0" customWidth="1"/>
    <col min="4" max="4" width="5.5546875" style="0" customWidth="1"/>
    <col min="5" max="7" width="4.99609375" style="0" bestFit="1" customWidth="1"/>
    <col min="8" max="9" width="5.99609375" style="0" bestFit="1" customWidth="1"/>
    <col min="10" max="10" width="4.99609375" style="0" bestFit="1" customWidth="1"/>
    <col min="11" max="11" width="5.99609375" style="0" bestFit="1" customWidth="1"/>
    <col min="12" max="12" width="6.3359375" style="0" bestFit="1" customWidth="1"/>
    <col min="13" max="13" width="8.4453125" style="0" bestFit="1" customWidth="1"/>
    <col min="14" max="16384" width="8.6640625" style="0" customWidth="1"/>
  </cols>
  <sheetData>
    <row r="1" spans="1:14" ht="30" customHeight="1">
      <c r="A1" s="197" t="s">
        <v>267</v>
      </c>
      <c r="B1" s="207" t="s">
        <v>233</v>
      </c>
      <c r="C1" s="207" t="s">
        <v>411</v>
      </c>
      <c r="D1" s="207" t="s">
        <v>235</v>
      </c>
      <c r="E1" s="207" t="s">
        <v>152</v>
      </c>
      <c r="F1" s="207" t="s">
        <v>236</v>
      </c>
      <c r="G1" s="207" t="s">
        <v>237</v>
      </c>
      <c r="H1" s="208" t="s">
        <v>150</v>
      </c>
      <c r="I1" s="205"/>
      <c r="J1" s="205"/>
      <c r="K1" s="205"/>
      <c r="L1" s="205"/>
      <c r="M1" s="205"/>
      <c r="N1" s="205"/>
    </row>
    <row r="2" spans="1:9" ht="15">
      <c r="A2" s="185" t="s">
        <v>268</v>
      </c>
      <c r="B2" s="1">
        <v>3</v>
      </c>
      <c r="C2" s="214">
        <v>20</v>
      </c>
      <c r="D2" s="1">
        <v>1.1</v>
      </c>
      <c r="E2" s="214">
        <v>1</v>
      </c>
      <c r="F2" s="214">
        <v>0</v>
      </c>
      <c r="G2" s="214">
        <v>0</v>
      </c>
      <c r="H2" s="216">
        <v>0</v>
      </c>
      <c r="I2" s="209"/>
    </row>
    <row r="3" spans="1:9" ht="15">
      <c r="A3" s="185" t="s">
        <v>216</v>
      </c>
      <c r="B3" s="1">
        <v>4</v>
      </c>
      <c r="C3" s="214">
        <v>0</v>
      </c>
      <c r="D3" s="1">
        <v>1.1</v>
      </c>
      <c r="E3" s="214">
        <v>-2</v>
      </c>
      <c r="F3" s="214">
        <v>-1</v>
      </c>
      <c r="G3" s="214">
        <v>0</v>
      </c>
      <c r="H3" s="216">
        <v>1</v>
      </c>
      <c r="I3" s="209"/>
    </row>
    <row r="4" spans="1:9" ht="15">
      <c r="A4" s="185" t="s">
        <v>149</v>
      </c>
      <c r="B4" s="1">
        <v>5.5</v>
      </c>
      <c r="C4" s="214">
        <v>5</v>
      </c>
      <c r="D4" s="1">
        <v>1.1</v>
      </c>
      <c r="E4" s="214">
        <v>0</v>
      </c>
      <c r="F4" s="214">
        <v>1</v>
      </c>
      <c r="G4" s="214">
        <v>1</v>
      </c>
      <c r="H4" s="216">
        <v>1</v>
      </c>
      <c r="I4" s="209"/>
    </row>
    <row r="5" spans="1:9" ht="15">
      <c r="A5" s="185" t="s">
        <v>269</v>
      </c>
      <c r="B5" s="1">
        <v>5</v>
      </c>
      <c r="C5" s="214">
        <v>10</v>
      </c>
      <c r="D5" s="1">
        <v>1.2</v>
      </c>
      <c r="E5" s="214">
        <v>1</v>
      </c>
      <c r="F5" s="214">
        <v>1</v>
      </c>
      <c r="G5" s="214">
        <v>2</v>
      </c>
      <c r="H5" s="216">
        <v>1</v>
      </c>
      <c r="I5" s="209"/>
    </row>
    <row r="6" spans="1:9" ht="15">
      <c r="A6" s="185" t="s">
        <v>270</v>
      </c>
      <c r="B6" s="1">
        <v>5</v>
      </c>
      <c r="C6" s="214">
        <v>0</v>
      </c>
      <c r="D6" s="1">
        <v>0.9</v>
      </c>
      <c r="E6" s="214">
        <v>0</v>
      </c>
      <c r="F6" s="214">
        <v>-1</v>
      </c>
      <c r="G6" s="214">
        <v>2</v>
      </c>
      <c r="H6" s="216">
        <v>0</v>
      </c>
      <c r="I6" s="209"/>
    </row>
    <row r="7" spans="1:9" ht="15">
      <c r="A7" s="185" t="s">
        <v>271</v>
      </c>
      <c r="B7" s="1">
        <v>6</v>
      </c>
      <c r="C7" s="214">
        <v>0</v>
      </c>
      <c r="D7" s="1">
        <v>1</v>
      </c>
      <c r="E7" s="214">
        <v>0</v>
      </c>
      <c r="F7" s="214">
        <v>0</v>
      </c>
      <c r="G7" s="214">
        <v>0</v>
      </c>
      <c r="H7" s="216">
        <v>0</v>
      </c>
      <c r="I7" s="209"/>
    </row>
    <row r="8" spans="1:9" ht="15">
      <c r="A8" s="206" t="s">
        <v>234</v>
      </c>
      <c r="B8" s="1">
        <v>6</v>
      </c>
      <c r="C8" s="214">
        <v>0</v>
      </c>
      <c r="D8" s="1">
        <v>1.4</v>
      </c>
      <c r="E8" s="214">
        <v>0</v>
      </c>
      <c r="F8" s="214">
        <v>0</v>
      </c>
      <c r="G8" s="214">
        <v>0</v>
      </c>
      <c r="H8" s="216">
        <v>0</v>
      </c>
      <c r="I8" s="209"/>
    </row>
    <row r="9" spans="1:9" ht="15">
      <c r="A9" s="187" t="s">
        <v>272</v>
      </c>
      <c r="B9" s="188">
        <v>15</v>
      </c>
      <c r="C9" s="215">
        <v>0</v>
      </c>
      <c r="D9" s="188">
        <v>1.5</v>
      </c>
      <c r="E9" s="215">
        <v>-2</v>
      </c>
      <c r="F9" s="215">
        <v>0</v>
      </c>
      <c r="G9" s="215">
        <v>1</v>
      </c>
      <c r="H9" s="217">
        <v>0</v>
      </c>
      <c r="I9" s="209"/>
    </row>
    <row r="12" spans="1:13" ht="15">
      <c r="A12" s="693" t="s">
        <v>228</v>
      </c>
      <c r="B12" s="694"/>
      <c r="C12" s="694"/>
      <c r="D12" s="694"/>
      <c r="E12" s="694"/>
      <c r="F12" s="694"/>
      <c r="G12" s="694"/>
      <c r="H12" s="694"/>
      <c r="I12" s="694"/>
      <c r="J12" s="694"/>
      <c r="K12" s="694"/>
      <c r="L12" s="694"/>
      <c r="M12" s="695"/>
    </row>
    <row r="13" spans="1:13" ht="15">
      <c r="A13" s="197" t="s">
        <v>229</v>
      </c>
      <c r="B13" s="198" t="s">
        <v>230</v>
      </c>
      <c r="C13" s="691" t="s">
        <v>226</v>
      </c>
      <c r="D13" s="692"/>
      <c r="E13" s="692"/>
      <c r="F13" s="692"/>
      <c r="G13" s="692"/>
      <c r="H13" s="692"/>
      <c r="I13" s="692"/>
      <c r="J13" s="692"/>
      <c r="K13" s="199"/>
      <c r="L13" s="199"/>
      <c r="M13" s="198" t="s">
        <v>227</v>
      </c>
    </row>
    <row r="14" spans="1:13" ht="15">
      <c r="A14" s="193">
        <v>3</v>
      </c>
      <c r="B14" s="194">
        <v>5</v>
      </c>
      <c r="C14" s="193">
        <v>0</v>
      </c>
      <c r="D14" s="194">
        <v>0</v>
      </c>
      <c r="E14" s="203">
        <v>0.001</v>
      </c>
      <c r="F14" s="203">
        <v>0.001</v>
      </c>
      <c r="G14" s="194">
        <v>5</v>
      </c>
      <c r="H14" s="194">
        <v>14</v>
      </c>
      <c r="I14" s="194">
        <v>21.5</v>
      </c>
      <c r="J14" s="194">
        <v>30</v>
      </c>
      <c r="K14" s="194">
        <v>37.5</v>
      </c>
      <c r="L14" s="194">
        <v>45</v>
      </c>
      <c r="M14" s="201">
        <v>50.001</v>
      </c>
    </row>
    <row r="15" spans="1:13" ht="15">
      <c r="A15" s="185">
        <v>6</v>
      </c>
      <c r="B15" s="1">
        <v>8</v>
      </c>
      <c r="C15" s="185">
        <v>0</v>
      </c>
      <c r="D15" s="1">
        <v>0</v>
      </c>
      <c r="E15" s="204">
        <v>0.001</v>
      </c>
      <c r="F15" s="1">
        <v>5</v>
      </c>
      <c r="G15" s="1">
        <v>12.5</v>
      </c>
      <c r="H15" s="1">
        <v>17.5</v>
      </c>
      <c r="I15" s="1">
        <v>25</v>
      </c>
      <c r="J15" s="1">
        <v>40</v>
      </c>
      <c r="K15" s="1">
        <v>55</v>
      </c>
      <c r="L15" s="1">
        <v>67.5</v>
      </c>
      <c r="M15" s="202">
        <v>75.001</v>
      </c>
    </row>
    <row r="16" spans="1:13" ht="15">
      <c r="A16" s="185">
        <v>9</v>
      </c>
      <c r="B16" s="1">
        <v>12</v>
      </c>
      <c r="C16" s="185">
        <v>0</v>
      </c>
      <c r="D16" s="1">
        <v>0</v>
      </c>
      <c r="E16" s="1">
        <v>5</v>
      </c>
      <c r="F16" s="1">
        <v>12.5</v>
      </c>
      <c r="G16" s="1">
        <v>17.5</v>
      </c>
      <c r="H16" s="1">
        <v>25</v>
      </c>
      <c r="I16" s="1">
        <v>40</v>
      </c>
      <c r="J16" s="1">
        <v>60</v>
      </c>
      <c r="K16" s="1">
        <v>75</v>
      </c>
      <c r="L16" s="1">
        <v>90</v>
      </c>
      <c r="M16" s="202">
        <v>100.001</v>
      </c>
    </row>
    <row r="17" spans="1:13" ht="15">
      <c r="A17" s="185">
        <v>13</v>
      </c>
      <c r="B17" s="1">
        <v>17</v>
      </c>
      <c r="C17" s="185">
        <v>0</v>
      </c>
      <c r="D17" s="1">
        <v>10</v>
      </c>
      <c r="E17" s="1">
        <v>12.5</v>
      </c>
      <c r="F17" s="1">
        <v>17.5</v>
      </c>
      <c r="G17" s="1">
        <v>25</v>
      </c>
      <c r="H17" s="1">
        <v>40</v>
      </c>
      <c r="I17" s="1">
        <v>60</v>
      </c>
      <c r="J17" s="1">
        <v>80</v>
      </c>
      <c r="K17" s="1">
        <v>95</v>
      </c>
      <c r="L17" s="1">
        <v>112.5</v>
      </c>
      <c r="M17" s="202">
        <v>125.001</v>
      </c>
    </row>
    <row r="18" spans="1:13" ht="15">
      <c r="A18" s="185">
        <v>18</v>
      </c>
      <c r="B18" s="1">
        <v>20</v>
      </c>
      <c r="C18" s="185">
        <v>0</v>
      </c>
      <c r="D18" s="1">
        <v>15</v>
      </c>
      <c r="E18" s="1">
        <v>17.5</v>
      </c>
      <c r="F18" s="1">
        <v>25</v>
      </c>
      <c r="G18" s="1">
        <v>35</v>
      </c>
      <c r="H18" s="1">
        <v>50</v>
      </c>
      <c r="I18" s="1">
        <v>75</v>
      </c>
      <c r="J18" s="1">
        <v>105</v>
      </c>
      <c r="K18" s="1">
        <v>125</v>
      </c>
      <c r="L18" s="1">
        <v>140</v>
      </c>
      <c r="M18" s="202">
        <v>150.001</v>
      </c>
    </row>
    <row r="19" spans="1:13" ht="15">
      <c r="A19" s="185">
        <v>21</v>
      </c>
      <c r="B19" s="1">
        <v>23</v>
      </c>
      <c r="C19" s="185">
        <v>0</v>
      </c>
      <c r="D19" s="1">
        <v>20</v>
      </c>
      <c r="E19" s="1">
        <v>25</v>
      </c>
      <c r="F19" s="1">
        <v>40</v>
      </c>
      <c r="G19" s="1">
        <v>55</v>
      </c>
      <c r="H19" s="1">
        <v>70</v>
      </c>
      <c r="I19" s="1">
        <v>100</v>
      </c>
      <c r="J19" s="1">
        <v>140</v>
      </c>
      <c r="K19" s="1">
        <v>165</v>
      </c>
      <c r="L19" s="1">
        <v>185</v>
      </c>
      <c r="M19" s="202">
        <v>200.001</v>
      </c>
    </row>
    <row r="20" spans="1:13" ht="15">
      <c r="A20" s="185">
        <v>24</v>
      </c>
      <c r="B20" s="1">
        <v>27</v>
      </c>
      <c r="C20" s="185">
        <v>0</v>
      </c>
      <c r="D20" s="1">
        <v>30</v>
      </c>
      <c r="E20" s="1">
        <v>35</v>
      </c>
      <c r="F20" s="1">
        <v>50</v>
      </c>
      <c r="G20" s="1">
        <v>65</v>
      </c>
      <c r="H20" s="1">
        <v>85</v>
      </c>
      <c r="I20" s="1">
        <v>120</v>
      </c>
      <c r="J20" s="1">
        <v>160</v>
      </c>
      <c r="K20" s="1">
        <v>185</v>
      </c>
      <c r="L20" s="1">
        <v>207.5</v>
      </c>
      <c r="M20" s="202">
        <v>225.001</v>
      </c>
    </row>
    <row r="21" spans="1:13" ht="15">
      <c r="A21" s="185">
        <v>28</v>
      </c>
      <c r="B21" s="1">
        <v>32</v>
      </c>
      <c r="C21" s="185">
        <v>0</v>
      </c>
      <c r="D21" s="1">
        <v>40</v>
      </c>
      <c r="E21" s="1">
        <v>45</v>
      </c>
      <c r="F21" s="1">
        <v>65</v>
      </c>
      <c r="G21" s="1">
        <v>85</v>
      </c>
      <c r="H21" s="1">
        <v>105</v>
      </c>
      <c r="I21" s="1">
        <v>140</v>
      </c>
      <c r="J21" s="1">
        <v>180</v>
      </c>
      <c r="K21" s="1">
        <v>205</v>
      </c>
      <c r="L21" s="1">
        <v>230</v>
      </c>
      <c r="M21" s="202">
        <v>250.001</v>
      </c>
    </row>
    <row r="22" spans="1:13" ht="15">
      <c r="A22" s="185">
        <v>33</v>
      </c>
      <c r="B22" s="1">
        <v>36</v>
      </c>
      <c r="C22" s="185">
        <v>0</v>
      </c>
      <c r="D22" s="1">
        <v>50</v>
      </c>
      <c r="E22" s="1">
        <v>55</v>
      </c>
      <c r="F22" s="1">
        <v>80</v>
      </c>
      <c r="G22" s="1">
        <v>110</v>
      </c>
      <c r="H22" s="1">
        <v>140</v>
      </c>
      <c r="I22" s="1">
        <v>180</v>
      </c>
      <c r="J22" s="1">
        <v>220</v>
      </c>
      <c r="K22" s="1">
        <v>245</v>
      </c>
      <c r="L22" s="1">
        <v>262.5</v>
      </c>
      <c r="M22" s="202">
        <v>275.001</v>
      </c>
    </row>
    <row r="23" spans="1:13" ht="15">
      <c r="A23" s="187">
        <v>37</v>
      </c>
      <c r="B23" s="188">
        <v>40</v>
      </c>
      <c r="C23" s="185">
        <v>0</v>
      </c>
      <c r="D23" s="1">
        <v>60</v>
      </c>
      <c r="E23" s="1">
        <v>65</v>
      </c>
      <c r="F23" s="1">
        <v>95</v>
      </c>
      <c r="G23" s="1">
        <v>135</v>
      </c>
      <c r="H23" s="1">
        <v>170</v>
      </c>
      <c r="I23" s="1">
        <v>207.5</v>
      </c>
      <c r="J23" s="1">
        <v>247.5</v>
      </c>
      <c r="K23" s="1">
        <v>280</v>
      </c>
      <c r="L23" s="1">
        <v>307.5</v>
      </c>
      <c r="M23" s="202">
        <v>325.001</v>
      </c>
    </row>
    <row r="24" spans="1:13" ht="15">
      <c r="A24" s="197" t="s">
        <v>231</v>
      </c>
      <c r="B24" s="200"/>
      <c r="C24" s="195">
        <v>0</v>
      </c>
      <c r="D24" s="200">
        <v>0</v>
      </c>
      <c r="E24" s="200">
        <v>-1</v>
      </c>
      <c r="F24" s="200">
        <v>-2</v>
      </c>
      <c r="G24" s="200">
        <v>-3</v>
      </c>
      <c r="H24" s="200">
        <v>-5</v>
      </c>
      <c r="I24" s="200">
        <v>-7</v>
      </c>
      <c r="J24" s="200">
        <v>-9</v>
      </c>
      <c r="K24" s="200">
        <v>-10</v>
      </c>
      <c r="L24" s="200">
        <v>-12</v>
      </c>
      <c r="M24" s="196" t="s">
        <v>232</v>
      </c>
    </row>
    <row r="25" spans="1:13" ht="15">
      <c r="A25" s="191" t="s">
        <v>153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2" s="219" customFormat="1" ht="15">
      <c r="A26" s="218" t="s">
        <v>154</v>
      </c>
      <c r="B26" s="219" t="s">
        <v>155</v>
      </c>
    </row>
    <row r="27" spans="1:2" s="219" customFormat="1" ht="15">
      <c r="A27" s="218"/>
      <c r="B27" s="219" t="s">
        <v>311</v>
      </c>
    </row>
    <row r="28" spans="1:2" s="219" customFormat="1" ht="15">
      <c r="A28" s="218"/>
      <c r="B28" s="219" t="s">
        <v>312</v>
      </c>
    </row>
    <row r="29" s="219" customFormat="1" ht="15">
      <c r="A29" s="218"/>
    </row>
    <row r="30" s="219" customFormat="1" ht="15">
      <c r="A30" s="218"/>
    </row>
    <row r="31" s="219" customFormat="1" ht="15">
      <c r="A31" s="218"/>
    </row>
    <row r="32" s="219" customFormat="1" ht="15">
      <c r="A32" s="218"/>
    </row>
    <row r="34" spans="1:7" ht="15">
      <c r="A34" s="197" t="s">
        <v>238</v>
      </c>
      <c r="B34" s="198" t="s">
        <v>239</v>
      </c>
      <c r="C34" s="198" t="s">
        <v>550</v>
      </c>
      <c r="E34" s="197" t="s">
        <v>151</v>
      </c>
      <c r="F34" s="198"/>
      <c r="G34" s="198" t="s">
        <v>547</v>
      </c>
    </row>
    <row r="35" spans="1:7" ht="15">
      <c r="A35" s="185">
        <v>3</v>
      </c>
      <c r="B35" s="186">
        <v>4</v>
      </c>
      <c r="C35" s="186">
        <v>16</v>
      </c>
      <c r="E35" s="185">
        <v>0</v>
      </c>
      <c r="F35" s="186">
        <v>2</v>
      </c>
      <c r="G35" s="186">
        <v>0</v>
      </c>
    </row>
    <row r="36" spans="1:11" ht="15">
      <c r="A36" s="185">
        <v>5</v>
      </c>
      <c r="B36" s="186">
        <v>7</v>
      </c>
      <c r="C36" s="186">
        <v>17</v>
      </c>
      <c r="D36" s="1"/>
      <c r="E36" s="185">
        <v>3</v>
      </c>
      <c r="F36" s="186">
        <v>4</v>
      </c>
      <c r="G36" s="186">
        <v>2</v>
      </c>
      <c r="H36" s="1"/>
      <c r="I36" s="1"/>
      <c r="J36" s="1"/>
      <c r="K36" s="1"/>
    </row>
    <row r="37" spans="1:11" ht="15">
      <c r="A37" s="185">
        <v>8</v>
      </c>
      <c r="B37" s="186">
        <v>10</v>
      </c>
      <c r="C37" s="186">
        <v>18</v>
      </c>
      <c r="E37" s="185">
        <v>5</v>
      </c>
      <c r="F37" s="186">
        <v>8</v>
      </c>
      <c r="G37" s="186">
        <v>3</v>
      </c>
      <c r="H37" s="1"/>
      <c r="I37" s="1"/>
      <c r="J37" s="1"/>
      <c r="K37" s="1"/>
    </row>
    <row r="38" spans="1:11" ht="15">
      <c r="A38" s="185">
        <v>11</v>
      </c>
      <c r="B38" s="186">
        <v>13</v>
      </c>
      <c r="C38" s="186">
        <v>19</v>
      </c>
      <c r="E38" s="185">
        <v>9</v>
      </c>
      <c r="F38" s="186">
        <v>12</v>
      </c>
      <c r="G38" s="186">
        <v>4</v>
      </c>
      <c r="H38" s="1"/>
      <c r="I38" s="1"/>
      <c r="J38" s="1"/>
      <c r="K38" s="1"/>
    </row>
    <row r="39" spans="1:11" ht="15">
      <c r="A39" s="185">
        <v>14</v>
      </c>
      <c r="B39" s="186">
        <v>16</v>
      </c>
      <c r="C39" s="186">
        <v>20</v>
      </c>
      <c r="E39" s="185">
        <v>13</v>
      </c>
      <c r="F39" s="186">
        <v>17</v>
      </c>
      <c r="G39" s="186">
        <v>5</v>
      </c>
      <c r="H39" s="1"/>
      <c r="I39" s="1"/>
      <c r="J39" s="1"/>
      <c r="K39" s="1"/>
    </row>
    <row r="40" spans="1:11" ht="15">
      <c r="A40" s="185">
        <v>17</v>
      </c>
      <c r="B40" s="186">
        <v>19</v>
      </c>
      <c r="C40" s="186">
        <v>21</v>
      </c>
      <c r="D40" s="1"/>
      <c r="E40" s="185">
        <v>18</v>
      </c>
      <c r="F40" s="186">
        <v>21</v>
      </c>
      <c r="G40" s="186">
        <v>6</v>
      </c>
      <c r="H40" s="1"/>
      <c r="I40" s="1"/>
      <c r="J40" s="1"/>
      <c r="K40" s="1"/>
    </row>
    <row r="41" spans="1:11" ht="15">
      <c r="A41" s="185">
        <v>20</v>
      </c>
      <c r="B41" s="186">
        <v>22</v>
      </c>
      <c r="C41" s="186">
        <v>22</v>
      </c>
      <c r="D41" s="1"/>
      <c r="E41" s="185">
        <v>22</v>
      </c>
      <c r="F41" s="186">
        <v>25</v>
      </c>
      <c r="G41" s="186">
        <v>7</v>
      </c>
      <c r="H41" s="1"/>
      <c r="I41" s="1"/>
      <c r="J41" s="1"/>
      <c r="K41" s="1"/>
    </row>
    <row r="42" spans="1:7" ht="15">
      <c r="A42" s="185">
        <v>23</v>
      </c>
      <c r="B42" s="186">
        <v>25</v>
      </c>
      <c r="C42" s="186">
        <v>23</v>
      </c>
      <c r="E42" s="187">
        <v>26</v>
      </c>
      <c r="F42" s="189">
        <v>27</v>
      </c>
      <c r="G42" s="189">
        <v>8</v>
      </c>
    </row>
    <row r="43" spans="1:7" ht="15">
      <c r="A43" s="187">
        <v>26</v>
      </c>
      <c r="B43" s="189">
        <v>27</v>
      </c>
      <c r="C43" s="189">
        <v>24</v>
      </c>
      <c r="E43" s="1"/>
      <c r="F43" s="1"/>
      <c r="G43" s="1"/>
    </row>
    <row r="44" spans="5:7" ht="15">
      <c r="E44" s="1"/>
      <c r="F44" s="1"/>
      <c r="G44" s="1"/>
    </row>
  </sheetData>
  <sheetProtection sheet="1" objects="1" scenarios="1"/>
  <mergeCells count="2">
    <mergeCell ref="C13:J13"/>
    <mergeCell ref="A12:M1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C4" sqref="A4:P4"/>
    </sheetView>
  </sheetViews>
  <sheetFormatPr defaultColWidth="8.88671875" defaultRowHeight="15"/>
  <cols>
    <col min="1" max="1" width="15.6640625" style="0" customWidth="1"/>
    <col min="2" max="2" width="8.4453125" style="0" customWidth="1"/>
    <col min="3" max="3" width="5.4453125" style="0" customWidth="1"/>
    <col min="4" max="4" width="6.10546875" style="0" customWidth="1"/>
    <col min="5" max="6" width="5.6640625" style="0" customWidth="1"/>
    <col min="7" max="7" width="6.5546875" style="0" customWidth="1"/>
    <col min="8" max="8" width="4.6640625" style="0" customWidth="1"/>
    <col min="9" max="9" width="3.4453125" style="0" customWidth="1"/>
    <col min="10" max="10" width="4.6640625" style="0" customWidth="1"/>
    <col min="11" max="11" width="2.3359375" style="0" customWidth="1"/>
    <col min="12" max="12" width="2.6640625" style="0" customWidth="1"/>
    <col min="13" max="13" width="3.99609375" style="0" customWidth="1"/>
    <col min="14" max="14" width="6.5546875" style="0" customWidth="1"/>
    <col min="15" max="15" width="4.6640625" style="0" customWidth="1"/>
    <col min="16" max="16" width="6.3359375" style="0" customWidth="1"/>
    <col min="17" max="17" width="4.4453125" style="0" customWidth="1"/>
    <col min="18" max="18" width="5.10546875" style="0" hidden="1" customWidth="1"/>
    <col min="19" max="19" width="9.3359375" style="0" hidden="1" customWidth="1"/>
    <col min="20" max="20" width="11.88671875" style="0" hidden="1" customWidth="1"/>
    <col min="21" max="16384" width="11.5546875" style="0" customWidth="1"/>
  </cols>
  <sheetData>
    <row r="1" spans="1:12" ht="15">
      <c r="A1" s="622" t="s">
        <v>402</v>
      </c>
      <c r="B1" s="600"/>
      <c r="D1" s="257"/>
      <c r="E1" s="257"/>
      <c r="F1" s="257"/>
      <c r="G1" s="257"/>
      <c r="H1" s="257"/>
      <c r="I1" s="257"/>
      <c r="J1" s="257"/>
      <c r="K1" s="250"/>
      <c r="L1" s="250"/>
    </row>
    <row r="2" spans="1:12" ht="15" customHeight="1">
      <c r="A2" s="622"/>
      <c r="B2" s="600"/>
      <c r="C2" s="243"/>
      <c r="D2" s="257"/>
      <c r="E2" s="165"/>
      <c r="F2" s="165"/>
      <c r="G2" s="165"/>
      <c r="H2" s="165"/>
      <c r="I2" s="165"/>
      <c r="J2" s="165"/>
      <c r="K2" s="247"/>
      <c r="L2" s="247"/>
    </row>
    <row r="3" spans="1:3" ht="18">
      <c r="A3" s="241" t="s">
        <v>300</v>
      </c>
      <c r="B3" s="240"/>
      <c r="C3" s="242"/>
    </row>
    <row r="4" spans="1:20" ht="12.75" customHeight="1">
      <c r="A4" s="244" t="s">
        <v>383</v>
      </c>
      <c r="B4" s="245" t="s">
        <v>274</v>
      </c>
      <c r="C4" s="616" t="s">
        <v>722</v>
      </c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350"/>
      <c r="R4" s="348"/>
      <c r="S4" s="239" t="s">
        <v>364</v>
      </c>
      <c r="T4" s="239" t="s">
        <v>250</v>
      </c>
    </row>
    <row r="5" spans="1:20" ht="15">
      <c r="A5" s="602" t="s">
        <v>240</v>
      </c>
      <c r="B5" s="602"/>
      <c r="C5" s="246"/>
      <c r="D5" s="316" t="s">
        <v>244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248"/>
      <c r="R5" s="260"/>
      <c r="S5" t="e">
        <f>INDEX('Character Record'!K15:K30,MATCH(5,'Character Record'!AA15:AA32,0))</f>
        <v>#N/A</v>
      </c>
      <c r="T5" t="b">
        <v>1</v>
      </c>
    </row>
    <row r="6" spans="1:20" ht="15" customHeight="1" thickBot="1">
      <c r="A6" s="579" t="s">
        <v>242</v>
      </c>
      <c r="B6" s="579"/>
      <c r="C6" s="251"/>
      <c r="D6" s="326" t="s">
        <v>245</v>
      </c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248"/>
      <c r="R6" s="260"/>
      <c r="S6" s="239" t="s">
        <v>622</v>
      </c>
      <c r="T6" s="239" t="s">
        <v>251</v>
      </c>
    </row>
    <row r="7" spans="1:20" ht="15.75" thickBot="1">
      <c r="A7" s="604" t="s">
        <v>246</v>
      </c>
      <c r="B7" s="604"/>
      <c r="C7" s="604"/>
      <c r="D7" s="604"/>
      <c r="E7" s="249" t="e">
        <f>IF(S15=TRUE,SUM(((S5*8)+S9)+10),SUM((S9+(8*S5))))</f>
        <v>#N/A</v>
      </c>
      <c r="F7" s="580" t="s">
        <v>99</v>
      </c>
      <c r="G7" s="580"/>
      <c r="H7" s="255" t="e">
        <f>110-(10*S5)</f>
        <v>#N/A</v>
      </c>
      <c r="I7" s="262" t="s">
        <v>100</v>
      </c>
      <c r="J7" s="262"/>
      <c r="K7" s="1"/>
      <c r="Q7" s="246"/>
      <c r="S7">
        <f>MD</f>
        <v>15</v>
      </c>
      <c r="T7" t="b">
        <v>0</v>
      </c>
    </row>
    <row r="8" spans="1:20" ht="16.5" thickBot="1">
      <c r="A8" s="594" t="s">
        <v>247</v>
      </c>
      <c r="B8" s="594"/>
      <c r="C8" s="594"/>
      <c r="D8" s="594"/>
      <c r="E8" s="291">
        <v>100</v>
      </c>
      <c r="F8" s="294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349"/>
      <c r="R8" s="1"/>
      <c r="S8" s="239" t="s">
        <v>623</v>
      </c>
      <c r="T8" s="239" t="s">
        <v>252</v>
      </c>
    </row>
    <row r="9" spans="1:20" ht="15">
      <c r="A9" s="594" t="s">
        <v>248</v>
      </c>
      <c r="B9" s="594"/>
      <c r="C9" s="594"/>
      <c r="D9" s="594"/>
      <c r="E9" s="291" t="e">
        <f>IF(S13=TRUE,SUM(30-((2*S5)+(S7))),SUM(2*(30-((2*S5)+(S7)))))</f>
        <v>#N/A</v>
      </c>
      <c r="F9" s="626" t="s">
        <v>0</v>
      </c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8"/>
      <c r="R9" s="260"/>
      <c r="S9">
        <f>PC</f>
        <v>8</v>
      </c>
      <c r="T9" t="b">
        <v>1</v>
      </c>
    </row>
    <row r="10" spans="1:20" ht="16.5" thickBot="1">
      <c r="A10" s="615" t="s">
        <v>249</v>
      </c>
      <c r="B10" s="615"/>
      <c r="C10" s="615"/>
      <c r="D10" s="615"/>
      <c r="E10" s="292" t="e">
        <f>IF(S13=TRUE,SUM(30-((2*S5)+(S11))),SUM(2*(30-((2*S5)+(S11)))))</f>
        <v>#N/A</v>
      </c>
      <c r="F10" s="629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1"/>
      <c r="R10" s="260"/>
      <c r="S10" s="239" t="s">
        <v>385</v>
      </c>
      <c r="T10" s="239" t="s">
        <v>253</v>
      </c>
    </row>
    <row r="11" spans="1:20" ht="15">
      <c r="A11" s="248" t="s">
        <v>101</v>
      </c>
      <c r="B11" s="248"/>
      <c r="C11" s="248"/>
      <c r="D11" s="248"/>
      <c r="E11" s="253" t="e">
        <f>IF(T11=TRUE,(8*S5),"NA")</f>
        <v>#N/A</v>
      </c>
      <c r="F11" s="635" t="s">
        <v>102</v>
      </c>
      <c r="G11" s="635"/>
      <c r="H11" s="632" t="s">
        <v>1</v>
      </c>
      <c r="I11" s="633"/>
      <c r="J11" s="633"/>
      <c r="K11" s="633"/>
      <c r="L11" s="633"/>
      <c r="M11" s="633"/>
      <c r="N11" s="633"/>
      <c r="O11" s="634"/>
      <c r="P11" s="293" t="e">
        <f>150-(10*S5)</f>
        <v>#N/A</v>
      </c>
      <c r="Q11" s="280" t="s">
        <v>121</v>
      </c>
      <c r="S11">
        <f>AG</f>
        <v>15</v>
      </c>
      <c r="T11" t="e">
        <f>IF(S5&lt;5,FALSE,IF(AND(S5&gt;4,T7=FALSE,T9=FALSE,T5=TRUE),TRUE,IF(AND(S5&gt;6,T5=TRUE,OR(T7=FALSE,T9=FALSE,)),TRUE,IF(AND(S5&gt;8,T5=TRUE),TRUE,FALSE))))</f>
        <v>#N/A</v>
      </c>
    </row>
    <row r="12" spans="1:20" ht="15.75">
      <c r="A12" s="623" t="s">
        <v>123</v>
      </c>
      <c r="B12" s="624"/>
      <c r="C12" s="624"/>
      <c r="D12" s="625"/>
      <c r="E12" s="254" t="e">
        <f>IF(T11=TRUE,(100),"NA")</f>
        <v>#N/A</v>
      </c>
      <c r="F12" s="620" t="s">
        <v>124</v>
      </c>
      <c r="G12" s="621"/>
      <c r="H12" s="618" t="e">
        <f>(250-(15*S5))</f>
        <v>#N/A</v>
      </c>
      <c r="I12" s="618"/>
      <c r="J12" s="619" t="s">
        <v>125</v>
      </c>
      <c r="K12" s="619"/>
      <c r="L12" s="619"/>
      <c r="M12" s="619"/>
      <c r="N12" s="619"/>
      <c r="O12" s="260"/>
      <c r="P12" s="260"/>
      <c r="Q12" s="260"/>
      <c r="R12" s="260"/>
      <c r="S12" s="239" t="s">
        <v>241</v>
      </c>
      <c r="T12" s="239" t="s">
        <v>254</v>
      </c>
    </row>
    <row r="13" spans="1:20" ht="15">
      <c r="A13" s="256" t="s">
        <v>341</v>
      </c>
      <c r="B13" s="256"/>
      <c r="C13" s="256"/>
      <c r="D13" s="256"/>
      <c r="E13" s="254" t="e">
        <f>IF(T13=TRUE,("D-10"),"NA")</f>
        <v>#N/A</v>
      </c>
      <c r="F13" s="337" t="s">
        <v>2</v>
      </c>
      <c r="G13" s="255" t="e">
        <f>11-S5</f>
        <v>#N/A</v>
      </c>
      <c r="H13" s="316" t="s">
        <v>3</v>
      </c>
      <c r="I13" s="330"/>
      <c r="J13" s="330"/>
      <c r="K13" s="246"/>
      <c r="N13" s="338" t="s">
        <v>120</v>
      </c>
      <c r="O13" s="338"/>
      <c r="P13" s="341"/>
      <c r="Q13" s="340"/>
      <c r="S13" t="b">
        <v>1</v>
      </c>
      <c r="T13" t="e">
        <f>IF(S5&lt;5,FALSE,IF(AND(S5&gt;4,T5=FALSE,T9=FALSE,T7=TRUE),TRUE,IF(AND(S5&gt;6,T7=TRUE,OR(T5=FALSE,T9=FALSE,)),TRUE,IF(AND(S5&gt;8,T7=TRUE),TRUE,FALSE))))</f>
        <v>#N/A</v>
      </c>
    </row>
    <row r="14" spans="1:20" ht="15.75">
      <c r="A14" s="248" t="s">
        <v>342</v>
      </c>
      <c r="B14" s="248"/>
      <c r="C14" s="248"/>
      <c r="D14" s="248"/>
      <c r="E14" s="253" t="e">
        <f>IF(T13=TRUE,(S5-5),"NA")</f>
        <v>#N/A</v>
      </c>
      <c r="F14" s="602" t="s">
        <v>343</v>
      </c>
      <c r="G14" s="602"/>
      <c r="H14" s="602"/>
      <c r="I14" s="602"/>
      <c r="J14" s="259" t="e">
        <f>1000-(75*S5)</f>
        <v>#N/A</v>
      </c>
      <c r="K14" s="602" t="s">
        <v>344</v>
      </c>
      <c r="L14" s="602"/>
      <c r="M14" s="602"/>
      <c r="N14" s="602" t="s">
        <v>122</v>
      </c>
      <c r="O14" s="602"/>
      <c r="P14" s="261" t="e">
        <f>IF(E14="NA","NA",750+(150*E14))</f>
        <v>#N/A</v>
      </c>
      <c r="Q14" s="246" t="s">
        <v>121</v>
      </c>
      <c r="S14" s="239" t="s">
        <v>243</v>
      </c>
      <c r="T14" s="239" t="s">
        <v>255</v>
      </c>
    </row>
    <row r="15" spans="1:20" ht="15">
      <c r="A15" s="594" t="s">
        <v>345</v>
      </c>
      <c r="B15" s="594"/>
      <c r="C15" s="594"/>
      <c r="D15" s="594"/>
      <c r="E15" s="253" t="e">
        <f>IF(T13=TRUE,((-5*S5)+20),"NA")</f>
        <v>#N/A</v>
      </c>
      <c r="F15" s="595" t="s">
        <v>346</v>
      </c>
      <c r="G15" s="595"/>
      <c r="H15" s="246" t="s">
        <v>273</v>
      </c>
      <c r="I15" s="246"/>
      <c r="J15" s="246"/>
      <c r="K15" s="636" t="e">
        <f>(750-(60*S5))</f>
        <v>#N/A</v>
      </c>
      <c r="L15" s="637"/>
      <c r="M15" s="248" t="s">
        <v>4</v>
      </c>
      <c r="N15" s="297"/>
      <c r="O15" s="297"/>
      <c r="P15" s="297"/>
      <c r="Q15" s="297"/>
      <c r="R15" s="334"/>
      <c r="S15" t="b">
        <v>1</v>
      </c>
      <c r="T15" t="e">
        <f>IF(S5&lt;5,FALSE,IF(AND(S5&gt;4,T5=FALSE,T7=FALSE,T9=TRUE),TRUE,IF(AND(S5&gt;6,T9=TRUE,OR(T5=FALSE,T7=FALSE,)),TRUE,IF(AND(S5&gt;8,T9=TRUE),TRUE,FALSE))))</f>
        <v>#N/A</v>
      </c>
    </row>
    <row r="16" spans="1:17" ht="15">
      <c r="A16" s="246" t="s">
        <v>116</v>
      </c>
      <c r="B16" s="246"/>
      <c r="C16" s="246"/>
      <c r="D16" s="246"/>
      <c r="E16" s="253" t="e">
        <f>IF(S15=FALSE,"NoLab",IF(T15=TRUE,(10*S5),"NA"))</f>
        <v>#N/A</v>
      </c>
      <c r="F16" s="595" t="s">
        <v>347</v>
      </c>
      <c r="G16" s="595"/>
      <c r="H16" s="246" t="s">
        <v>5</v>
      </c>
      <c r="I16" s="252">
        <v>2</v>
      </c>
      <c r="J16" s="342" t="s">
        <v>349</v>
      </c>
      <c r="L16" s="343"/>
      <c r="M16" s="344"/>
      <c r="N16" s="259" t="e">
        <f>-10*S5</f>
        <v>#N/A</v>
      </c>
      <c r="O16" s="345" t="s">
        <v>119</v>
      </c>
      <c r="P16" s="346"/>
      <c r="Q16" s="347"/>
    </row>
    <row r="17" spans="1:19" ht="15.75">
      <c r="A17" s="588" t="s">
        <v>117</v>
      </c>
      <c r="B17" s="589"/>
      <c r="C17" s="589"/>
      <c r="D17" s="605"/>
      <c r="E17" s="253" t="e">
        <f>IF(S15=FALSE,"NoLab",IF(T15=TRUE,(10*S5),"NA"))</f>
        <v>#N/A</v>
      </c>
      <c r="F17" s="595" t="s">
        <v>347</v>
      </c>
      <c r="G17" s="595"/>
      <c r="H17" s="246" t="s">
        <v>5</v>
      </c>
      <c r="I17" s="252">
        <v>2</v>
      </c>
      <c r="J17" s="322" t="s">
        <v>349</v>
      </c>
      <c r="K17" s="323"/>
      <c r="L17" s="324"/>
      <c r="M17" s="259" t="e">
        <f>-50*S5</f>
        <v>#N/A</v>
      </c>
      <c r="N17" s="267" t="s">
        <v>118</v>
      </c>
      <c r="O17" s="267"/>
      <c r="P17" s="308"/>
      <c r="S17" s="239"/>
    </row>
    <row r="18" ht="15">
      <c r="A18" t="s">
        <v>464</v>
      </c>
    </row>
    <row r="19" ht="15">
      <c r="A19" t="s">
        <v>287</v>
      </c>
    </row>
    <row r="20" ht="15">
      <c r="A20" t="s">
        <v>416</v>
      </c>
    </row>
    <row r="21" ht="15">
      <c r="A21" t="s">
        <v>420</v>
      </c>
    </row>
  </sheetData>
  <mergeCells count="25">
    <mergeCell ref="N14:O14"/>
    <mergeCell ref="F17:G17"/>
    <mergeCell ref="F14:I14"/>
    <mergeCell ref="F15:G15"/>
    <mergeCell ref="F16:G16"/>
    <mergeCell ref="K15:L15"/>
    <mergeCell ref="K14:M14"/>
    <mergeCell ref="F12:G12"/>
    <mergeCell ref="A1:B2"/>
    <mergeCell ref="A5:B5"/>
    <mergeCell ref="A6:B6"/>
    <mergeCell ref="A12:D12"/>
    <mergeCell ref="F9:Q10"/>
    <mergeCell ref="H11:O11"/>
    <mergeCell ref="F11:G11"/>
    <mergeCell ref="A17:D17"/>
    <mergeCell ref="A10:D10"/>
    <mergeCell ref="C4:P4"/>
    <mergeCell ref="A9:D9"/>
    <mergeCell ref="A8:D8"/>
    <mergeCell ref="A7:D7"/>
    <mergeCell ref="F7:G7"/>
    <mergeCell ref="A15:D15"/>
    <mergeCell ref="H12:I12"/>
    <mergeCell ref="J12:N12"/>
  </mergeCells>
  <printOptions/>
  <pageMargins left="0.75" right="0.75" top="1" bottom="1" header="0.5" footer="0.5"/>
  <pageSetup orientation="landscape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C4" sqref="A4:P4"/>
    </sheetView>
  </sheetViews>
  <sheetFormatPr defaultColWidth="8.88671875" defaultRowHeight="15"/>
  <cols>
    <col min="1" max="1" width="11.5546875" style="0" customWidth="1"/>
    <col min="2" max="3" width="4.10546875" style="0" customWidth="1"/>
    <col min="4" max="4" width="7.88671875" style="0" customWidth="1"/>
    <col min="5" max="5" width="2.6640625" style="0" customWidth="1"/>
    <col min="6" max="6" width="3.99609375" style="0" customWidth="1"/>
    <col min="7" max="7" width="7.3359375" style="0" customWidth="1"/>
    <col min="8" max="8" width="5.88671875" style="0" customWidth="1"/>
    <col min="9" max="9" width="11.5546875" style="0" customWidth="1"/>
    <col min="10" max="10" width="2.6640625" style="0" customWidth="1"/>
    <col min="11" max="11" width="3.10546875" style="0" customWidth="1"/>
    <col min="12" max="12" width="5.6640625" style="0" customWidth="1"/>
    <col min="13" max="13" width="5.10546875" style="0" customWidth="1"/>
    <col min="14" max="14" width="10.6640625" style="0" hidden="1" customWidth="1"/>
    <col min="15" max="16384" width="11.5546875" style="0" customWidth="1"/>
  </cols>
  <sheetData>
    <row r="1" spans="1:3" ht="15">
      <c r="A1" s="640" t="s">
        <v>402</v>
      </c>
      <c r="B1" s="641"/>
      <c r="C1" s="642"/>
    </row>
    <row r="2" spans="1:3" ht="15">
      <c r="A2" s="643"/>
      <c r="B2" s="586"/>
      <c r="C2" s="587"/>
    </row>
    <row r="3" spans="1:10" ht="15.75">
      <c r="A3" s="576" t="s">
        <v>300</v>
      </c>
      <c r="B3" s="576"/>
      <c r="C3" s="613"/>
      <c r="D3" s="580" t="s">
        <v>562</v>
      </c>
      <c r="E3" s="580"/>
      <c r="F3" s="580"/>
      <c r="G3" s="287" t="e">
        <f>500+(100*N5)</f>
        <v>#N/A</v>
      </c>
      <c r="H3" s="580" t="s">
        <v>563</v>
      </c>
      <c r="I3" s="580"/>
      <c r="J3" s="580"/>
    </row>
    <row r="4" spans="1:14" ht="16.5" thickBot="1">
      <c r="A4" s="251" t="s">
        <v>384</v>
      </c>
      <c r="B4" s="251" t="s">
        <v>274</v>
      </c>
      <c r="C4" s="579" t="s">
        <v>721</v>
      </c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239" t="s">
        <v>364</v>
      </c>
    </row>
    <row r="5" spans="1:14" ht="15">
      <c r="A5" s="604" t="s">
        <v>558</v>
      </c>
      <c r="B5" s="604"/>
      <c r="C5" s="604"/>
      <c r="D5" s="604"/>
      <c r="E5" s="604"/>
      <c r="F5" s="281" t="e">
        <f>2*N5</f>
        <v>#N/A</v>
      </c>
      <c r="N5" t="e">
        <f>INDEX('Character Record'!K15:K30,MATCH(6,'Character Record'!AA15:AA32,0))</f>
        <v>#N/A</v>
      </c>
    </row>
    <row r="6" spans="1:14" ht="15.75">
      <c r="A6" s="594" t="s">
        <v>559</v>
      </c>
      <c r="B6" s="594"/>
      <c r="C6" s="594"/>
      <c r="D6" s="594"/>
      <c r="E6" s="594"/>
      <c r="F6" s="253" t="e">
        <f>N5</f>
        <v>#N/A</v>
      </c>
      <c r="N6" s="239" t="s">
        <v>48</v>
      </c>
    </row>
    <row r="7" spans="1:14" ht="15">
      <c r="A7" s="594" t="s">
        <v>560</v>
      </c>
      <c r="B7" s="594"/>
      <c r="C7" s="594"/>
      <c r="D7" s="594"/>
      <c r="E7" s="594"/>
      <c r="F7" s="253" t="e">
        <f>IF(N5&lt;3,0,IF(N5&lt;6,1,IF(N5&lt;9,2,3)))</f>
        <v>#N/A</v>
      </c>
      <c r="G7" s="188"/>
      <c r="H7" s="188"/>
      <c r="I7" s="188"/>
      <c r="J7" s="188"/>
      <c r="K7" s="188"/>
      <c r="L7" s="188"/>
      <c r="N7">
        <f>PC</f>
        <v>8</v>
      </c>
    </row>
    <row r="8" spans="1:12" ht="15">
      <c r="A8" s="644" t="s">
        <v>335</v>
      </c>
      <c r="B8" s="612"/>
      <c r="C8" s="612"/>
      <c r="D8" s="612"/>
      <c r="E8" s="612"/>
      <c r="F8" s="253" t="e">
        <f>10*N5</f>
        <v>#N/A</v>
      </c>
      <c r="G8" s="595" t="s">
        <v>336</v>
      </c>
      <c r="H8" s="595"/>
      <c r="I8" s="638" t="s">
        <v>337</v>
      </c>
      <c r="J8" s="639"/>
      <c r="K8" s="252" t="e">
        <f>N5</f>
        <v>#N/A</v>
      </c>
      <c r="L8" s="186" t="s">
        <v>338</v>
      </c>
    </row>
    <row r="9" spans="1:13" ht="15">
      <c r="A9" s="619" t="s">
        <v>339</v>
      </c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602"/>
    </row>
    <row r="10" spans="1:6" ht="15">
      <c r="A10" s="246" t="s">
        <v>340</v>
      </c>
      <c r="B10" s="289"/>
      <c r="C10" s="246"/>
      <c r="D10" s="246"/>
      <c r="E10" s="246"/>
      <c r="F10" s="253" t="e">
        <f>(5*N7)+(2*N5)</f>
        <v>#N/A</v>
      </c>
    </row>
    <row r="11" spans="1:6" ht="15">
      <c r="A11" s="246" t="s">
        <v>556</v>
      </c>
      <c r="B11" s="290"/>
      <c r="C11" s="246"/>
      <c r="D11" s="246"/>
      <c r="E11" s="246"/>
      <c r="F11" s="253" t="e">
        <f>N5</f>
        <v>#N/A</v>
      </c>
    </row>
    <row r="12" spans="1:6" ht="15">
      <c r="A12" s="246" t="s">
        <v>557</v>
      </c>
      <c r="B12" s="289"/>
      <c r="C12" s="246"/>
      <c r="D12" s="246"/>
      <c r="E12" s="246"/>
      <c r="F12" s="253" t="e">
        <f>N5*2</f>
        <v>#N/A</v>
      </c>
    </row>
    <row r="13" spans="1:6" ht="15">
      <c r="A13" s="246" t="s">
        <v>561</v>
      </c>
      <c r="B13" s="246"/>
      <c r="C13" s="246"/>
      <c r="D13" s="246"/>
      <c r="E13" s="246"/>
      <c r="F13" s="253" t="e">
        <f>2*N5</f>
        <v>#N/A</v>
      </c>
    </row>
    <row r="23" spans="1:4" ht="15">
      <c r="A23" t="s">
        <v>306</v>
      </c>
      <c r="D23" t="s">
        <v>564</v>
      </c>
    </row>
    <row r="24" ht="15">
      <c r="A24" t="s">
        <v>307</v>
      </c>
    </row>
  </sheetData>
  <mergeCells count="12">
    <mergeCell ref="A1:C2"/>
    <mergeCell ref="A3:C3"/>
    <mergeCell ref="A8:E8"/>
    <mergeCell ref="D3:F3"/>
    <mergeCell ref="A5:E5"/>
    <mergeCell ref="H3:J3"/>
    <mergeCell ref="C4:M4"/>
    <mergeCell ref="A9:M9"/>
    <mergeCell ref="A6:E6"/>
    <mergeCell ref="G8:H8"/>
    <mergeCell ref="I8:J8"/>
    <mergeCell ref="A7:E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8"/>
  <sheetViews>
    <sheetView workbookViewId="0" topLeftCell="A1">
      <selection activeCell="A68" sqref="A68"/>
    </sheetView>
  </sheetViews>
  <sheetFormatPr defaultColWidth="8.88671875" defaultRowHeight="15"/>
  <cols>
    <col min="1" max="1" width="11.5546875" style="0" customWidth="1"/>
    <col min="2" max="2" width="4.4453125" style="0" customWidth="1"/>
    <col min="4" max="4" width="5.88671875" style="0" customWidth="1"/>
    <col min="5" max="5" width="11.5546875" style="0" customWidth="1"/>
    <col min="6" max="6" width="6.10546875" style="0" customWidth="1"/>
    <col min="7" max="7" width="3.6640625" style="0" customWidth="1"/>
    <col min="8" max="8" width="11.5546875" style="0" customWidth="1"/>
    <col min="9" max="9" width="4.10546875" style="0" customWidth="1"/>
    <col min="10" max="10" width="11.6640625" style="0" customWidth="1"/>
    <col min="11" max="11" width="11.3359375" style="0" hidden="1" customWidth="1"/>
    <col min="12" max="12" width="10.6640625" style="0" hidden="1" customWidth="1"/>
    <col min="13" max="16384" width="11.5546875" style="0" customWidth="1"/>
  </cols>
  <sheetData>
    <row r="1" spans="1:10" ht="15.75" customHeight="1">
      <c r="A1" s="582" t="s">
        <v>402</v>
      </c>
      <c r="B1" s="583"/>
      <c r="C1" s="584"/>
      <c r="D1" s="295"/>
      <c r="E1" s="295"/>
      <c r="F1" s="295"/>
      <c r="G1" s="295"/>
      <c r="H1" s="295"/>
      <c r="I1" s="295"/>
      <c r="J1" s="296"/>
    </row>
    <row r="2" spans="1:10" ht="15.75" customHeight="1">
      <c r="A2" s="585"/>
      <c r="B2" s="586"/>
      <c r="C2" s="587"/>
      <c r="D2" s="1"/>
      <c r="E2" s="1"/>
      <c r="F2" s="1"/>
      <c r="G2" s="1"/>
      <c r="H2" s="1"/>
      <c r="I2" s="1"/>
      <c r="J2" s="314"/>
    </row>
    <row r="3" spans="1:10" ht="15.75" customHeight="1">
      <c r="A3" s="575" t="s">
        <v>300</v>
      </c>
      <c r="B3" s="576"/>
      <c r="C3" s="577"/>
      <c r="D3" s="246" t="s">
        <v>638</v>
      </c>
      <c r="E3" s="246"/>
      <c r="F3" s="389" t="e">
        <f>(250+(250*L5))/12</f>
        <v>#N/A</v>
      </c>
      <c r="G3" s="246" t="s">
        <v>639</v>
      </c>
      <c r="H3" s="246"/>
      <c r="I3" s="246"/>
      <c r="J3" s="314"/>
    </row>
    <row r="4" spans="1:12" ht="18.75" thickBot="1">
      <c r="A4" s="450" t="s">
        <v>133</v>
      </c>
      <c r="B4" s="246" t="s">
        <v>274</v>
      </c>
      <c r="C4" s="578" t="s">
        <v>566</v>
      </c>
      <c r="D4" s="579"/>
      <c r="E4" s="579"/>
      <c r="F4" s="579"/>
      <c r="G4" s="579"/>
      <c r="H4" s="580"/>
      <c r="I4" s="580"/>
      <c r="J4" s="581"/>
      <c r="L4" s="239" t="s">
        <v>364</v>
      </c>
    </row>
    <row r="5" spans="1:12" ht="15">
      <c r="A5" s="373" t="s">
        <v>567</v>
      </c>
      <c r="B5" s="246"/>
      <c r="C5" s="189"/>
      <c r="D5" s="281">
        <v>100</v>
      </c>
      <c r="E5" s="271" t="s">
        <v>568</v>
      </c>
      <c r="F5" s="271"/>
      <c r="G5" s="282" t="e">
        <f>5+(10*L5)</f>
        <v>#N/A</v>
      </c>
      <c r="H5" s="588" t="s">
        <v>308</v>
      </c>
      <c r="I5" s="589"/>
      <c r="J5" s="590"/>
      <c r="L5" t="e">
        <f>INDEX('Character Record'!K15:K30,MATCH(7,'Character Record'!AA15:AA32,0))</f>
        <v>#N/A</v>
      </c>
    </row>
    <row r="6" spans="1:12" ht="15.75">
      <c r="A6" s="373" t="s">
        <v>569</v>
      </c>
      <c r="B6" s="246"/>
      <c r="C6" s="196"/>
      <c r="D6" s="253" t="e">
        <f>5*L9+(4*L5)-30</f>
        <v>#N/A</v>
      </c>
      <c r="E6" s="246" t="s">
        <v>309</v>
      </c>
      <c r="F6" s="246"/>
      <c r="G6" s="246"/>
      <c r="H6" s="246"/>
      <c r="I6" s="246"/>
      <c r="J6" s="374"/>
      <c r="L6" s="239" t="s">
        <v>48</v>
      </c>
    </row>
    <row r="7" spans="1:12" ht="15">
      <c r="A7" s="373" t="s">
        <v>698</v>
      </c>
      <c r="B7" s="246"/>
      <c r="C7" s="196"/>
      <c r="D7" s="253" t="e">
        <f>(L5*6)+(L7*4)</f>
        <v>#N/A</v>
      </c>
      <c r="E7" s="280" t="s">
        <v>570</v>
      </c>
      <c r="F7" s="280"/>
      <c r="G7" s="283" t="e">
        <f>L5</f>
        <v>#N/A</v>
      </c>
      <c r="H7" s="591" t="s">
        <v>310</v>
      </c>
      <c r="I7" s="591"/>
      <c r="J7" s="592"/>
      <c r="L7">
        <f>PC</f>
        <v>8</v>
      </c>
    </row>
    <row r="8" spans="1:12" ht="15.75">
      <c r="A8" s="373" t="s">
        <v>571</v>
      </c>
      <c r="B8" s="246"/>
      <c r="C8" s="391"/>
      <c r="D8" s="254" t="e">
        <f>60-(5*L5)</f>
        <v>#N/A</v>
      </c>
      <c r="E8" s="580" t="s">
        <v>334</v>
      </c>
      <c r="F8" s="580"/>
      <c r="G8" s="580"/>
      <c r="H8" s="580"/>
      <c r="I8" s="1"/>
      <c r="J8" s="314"/>
      <c r="L8" s="239" t="s">
        <v>565</v>
      </c>
    </row>
    <row r="9" spans="1:45" ht="16.5" customHeight="1">
      <c r="A9" s="568" t="s">
        <v>699</v>
      </c>
      <c r="B9" s="569"/>
      <c r="C9" s="570"/>
      <c r="D9" s="569"/>
      <c r="E9" s="569"/>
      <c r="F9" s="569"/>
      <c r="G9" s="569"/>
      <c r="H9" s="569"/>
      <c r="I9" s="569"/>
      <c r="J9" s="571"/>
      <c r="K9" s="285"/>
      <c r="L9">
        <f>WP</f>
        <v>15</v>
      </c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</row>
    <row r="10" spans="1:10" ht="15" customHeight="1">
      <c r="A10" s="568"/>
      <c r="B10" s="569"/>
      <c r="C10" s="569"/>
      <c r="D10" s="569"/>
      <c r="E10" s="569"/>
      <c r="F10" s="569"/>
      <c r="G10" s="569"/>
      <c r="H10" s="569"/>
      <c r="I10" s="569"/>
      <c r="J10" s="571"/>
    </row>
    <row r="11" spans="1:10" ht="15.75" thickBot="1">
      <c r="A11" s="572"/>
      <c r="B11" s="573"/>
      <c r="C11" s="573"/>
      <c r="D11" s="573"/>
      <c r="E11" s="573"/>
      <c r="F11" s="573"/>
      <c r="G11" s="573"/>
      <c r="H11" s="573"/>
      <c r="I11" s="573"/>
      <c r="J11" s="574"/>
    </row>
    <row r="12" ht="15.75" customHeight="1">
      <c r="I12" s="1"/>
    </row>
    <row r="16" spans="5:14" ht="15" customHeight="1">
      <c r="E16" s="250"/>
      <c r="F16" s="250"/>
      <c r="G16" s="250"/>
      <c r="H16" s="250"/>
      <c r="I16" s="250"/>
      <c r="J16" s="250"/>
      <c r="K16" s="250"/>
      <c r="L16" s="250"/>
      <c r="M16" s="250"/>
      <c r="N16" s="250"/>
    </row>
    <row r="17" spans="5:14" ht="15">
      <c r="E17" s="250"/>
      <c r="F17" s="250"/>
      <c r="G17" s="250"/>
      <c r="H17" s="250"/>
      <c r="I17" s="250"/>
      <c r="J17" s="250"/>
      <c r="K17" s="250"/>
      <c r="L17" s="250"/>
      <c r="M17" s="250"/>
      <c r="N17" s="250"/>
    </row>
    <row r="18" spans="5:14" ht="15">
      <c r="E18" s="1"/>
      <c r="F18" s="250"/>
      <c r="G18" s="250"/>
      <c r="H18" s="250"/>
      <c r="I18" s="250"/>
      <c r="J18" s="250"/>
      <c r="K18" s="250"/>
      <c r="L18" s="250"/>
      <c r="M18" s="250"/>
      <c r="N18" s="250"/>
    </row>
  </sheetData>
  <mergeCells count="7">
    <mergeCell ref="A9:J11"/>
    <mergeCell ref="A3:C3"/>
    <mergeCell ref="C4:J4"/>
    <mergeCell ref="A1:C2"/>
    <mergeCell ref="H5:J5"/>
    <mergeCell ref="H7:J7"/>
    <mergeCell ref="E8:H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4" sqref="A4:P4"/>
    </sheetView>
  </sheetViews>
  <sheetFormatPr defaultColWidth="8.88671875" defaultRowHeight="15"/>
  <cols>
    <col min="1" max="1" width="10.99609375" style="0" customWidth="1"/>
    <col min="2" max="2" width="4.5546875" style="0" customWidth="1"/>
    <col min="3" max="3" width="9.6640625" style="0" customWidth="1"/>
    <col min="4" max="4" width="4.4453125" style="0" customWidth="1"/>
    <col min="5" max="5" width="11.5546875" style="0" customWidth="1"/>
    <col min="6" max="6" width="4.99609375" style="0" customWidth="1"/>
    <col min="7" max="7" width="11.5546875" style="0" customWidth="1"/>
    <col min="8" max="8" width="6.10546875" style="0" customWidth="1"/>
    <col min="9" max="9" width="5.4453125" style="0" customWidth="1"/>
    <col min="10" max="10" width="5.99609375" style="0" customWidth="1"/>
    <col min="11" max="11" width="14.5546875" style="0" customWidth="1"/>
    <col min="12" max="12" width="10.6640625" style="0" hidden="1" customWidth="1"/>
    <col min="13" max="16384" width="11.5546875" style="0" customWidth="1"/>
  </cols>
  <sheetData>
    <row r="1" spans="1:4" ht="30.75">
      <c r="A1" s="640" t="s">
        <v>402</v>
      </c>
      <c r="B1" s="641"/>
      <c r="C1" s="642"/>
      <c r="D1" s="284"/>
    </row>
    <row r="2" spans="1:4" ht="30.75">
      <c r="A2" s="643"/>
      <c r="B2" s="586"/>
      <c r="C2" s="587"/>
      <c r="D2" s="284"/>
    </row>
    <row r="3" spans="1:12" ht="15.75">
      <c r="A3" s="576" t="s">
        <v>300</v>
      </c>
      <c r="B3" s="576"/>
      <c r="C3" s="613"/>
      <c r="D3" s="645" t="s">
        <v>284</v>
      </c>
      <c r="E3" s="646"/>
      <c r="F3" s="646"/>
      <c r="G3" s="646"/>
      <c r="H3" s="646"/>
      <c r="I3" s="646"/>
      <c r="J3" s="646"/>
      <c r="K3" s="647"/>
      <c r="L3" s="239" t="s">
        <v>364</v>
      </c>
    </row>
    <row r="4" spans="1:12" ht="15.75" thickBot="1">
      <c r="A4" s="251" t="s">
        <v>134</v>
      </c>
      <c r="B4" s="251" t="s">
        <v>274</v>
      </c>
      <c r="C4" s="251" t="s">
        <v>83</v>
      </c>
      <c r="D4" s="251"/>
      <c r="E4" s="251"/>
      <c r="F4" s="305"/>
      <c r="G4" s="306"/>
      <c r="H4" s="306"/>
      <c r="I4" s="306"/>
      <c r="J4" s="306"/>
      <c r="K4" s="306"/>
      <c r="L4" t="e">
        <f>INDEX('Character Record'!K15:K30,MATCH(8,'Character Record'!AA15:AA32,0))</f>
        <v>#N/A</v>
      </c>
    </row>
    <row r="5" spans="1:12" ht="15.75">
      <c r="A5" s="648" t="s">
        <v>84</v>
      </c>
      <c r="B5" s="649"/>
      <c r="C5" s="603"/>
      <c r="D5" s="281" t="e">
        <f>12-L4</f>
        <v>#N/A</v>
      </c>
      <c r="E5" s="280" t="s">
        <v>85</v>
      </c>
      <c r="F5" s="280"/>
      <c r="G5" s="280"/>
      <c r="H5" s="280"/>
      <c r="I5" s="280"/>
      <c r="J5" s="280"/>
      <c r="K5" s="280"/>
      <c r="L5" s="239" t="s">
        <v>565</v>
      </c>
    </row>
    <row r="6" spans="1:12" ht="15">
      <c r="A6" s="248" t="s">
        <v>86</v>
      </c>
      <c r="B6" s="248"/>
      <c r="C6" s="248"/>
      <c r="D6" s="253" t="e">
        <f>IF(L4&gt;9,3,IF(L4&gt;4,2,1))</f>
        <v>#N/A</v>
      </c>
      <c r="E6" s="246" t="s">
        <v>87</v>
      </c>
      <c r="F6" s="246"/>
      <c r="G6" s="246"/>
      <c r="H6" s="246"/>
      <c r="I6" s="246"/>
      <c r="J6" s="246"/>
      <c r="K6" s="246"/>
      <c r="L6">
        <f>WP</f>
        <v>15</v>
      </c>
    </row>
    <row r="7" spans="1:9" ht="15">
      <c r="A7" s="248" t="s">
        <v>88</v>
      </c>
      <c r="B7" s="248"/>
      <c r="C7" s="248"/>
      <c r="D7" s="253" t="e">
        <f>12-L4</f>
        <v>#N/A</v>
      </c>
      <c r="E7" s="594" t="s">
        <v>89</v>
      </c>
      <c r="F7" s="594"/>
      <c r="G7" s="594"/>
      <c r="H7" s="594"/>
      <c r="I7" s="594"/>
    </row>
    <row r="8" spans="1:4" ht="15">
      <c r="A8" s="248" t="s">
        <v>90</v>
      </c>
      <c r="B8" s="248"/>
      <c r="C8" s="248"/>
      <c r="D8" s="253" t="e">
        <f>2*L6+(4*L4)</f>
        <v>#N/A</v>
      </c>
    </row>
    <row r="9" spans="1:4" ht="15">
      <c r="A9" s="248" t="s">
        <v>91</v>
      </c>
      <c r="B9" s="248"/>
      <c r="C9" s="248"/>
      <c r="D9" s="253" t="e">
        <f>2*L6+(6*L4)</f>
        <v>#N/A</v>
      </c>
    </row>
    <row r="10" spans="1:4" ht="15">
      <c r="A10" s="256" t="s">
        <v>92</v>
      </c>
      <c r="B10" s="256"/>
      <c r="C10" s="256"/>
      <c r="D10" s="254" t="e">
        <f>2*L6+(8*L4)</f>
        <v>#N/A</v>
      </c>
    </row>
    <row r="11" spans="1:11" ht="15">
      <c r="A11" s="248" t="s">
        <v>278</v>
      </c>
      <c r="B11" s="248"/>
      <c r="C11" s="248"/>
      <c r="D11" s="253" t="e">
        <f>L6+L4</f>
        <v>#N/A</v>
      </c>
      <c r="E11" s="246" t="s">
        <v>279</v>
      </c>
      <c r="F11" s="246"/>
      <c r="G11" s="246"/>
      <c r="H11" s="246"/>
      <c r="I11" s="246"/>
      <c r="J11" s="246"/>
      <c r="K11" s="246"/>
    </row>
    <row r="12" spans="1:11" ht="15">
      <c r="A12" s="248" t="s">
        <v>280</v>
      </c>
      <c r="B12" s="248"/>
      <c r="C12" s="248"/>
      <c r="D12" s="253" t="e">
        <f>12-(1+L4)</f>
        <v>#N/A</v>
      </c>
      <c r="E12" s="246" t="s">
        <v>281</v>
      </c>
      <c r="F12" s="246"/>
      <c r="G12" s="246"/>
      <c r="H12" s="246"/>
      <c r="I12" s="246"/>
      <c r="J12" s="246"/>
      <c r="K12" s="246"/>
    </row>
    <row r="13" spans="1:9" ht="15">
      <c r="A13" s="650" t="s">
        <v>282</v>
      </c>
      <c r="B13" s="650"/>
      <c r="C13" s="650"/>
      <c r="D13" s="253" t="e">
        <f>L4</f>
        <v>#N/A</v>
      </c>
      <c r="E13" s="602" t="s">
        <v>283</v>
      </c>
      <c r="F13" s="602"/>
      <c r="G13" s="602"/>
      <c r="H13" s="602"/>
      <c r="I13" s="602"/>
    </row>
    <row r="14" spans="1:9" ht="15">
      <c r="A14" s="246" t="s">
        <v>285</v>
      </c>
      <c r="B14" s="246"/>
      <c r="C14" s="246"/>
      <c r="D14" s="246" t="s">
        <v>286</v>
      </c>
      <c r="E14" s="246"/>
      <c r="F14" s="246"/>
      <c r="G14" s="246" t="s">
        <v>192</v>
      </c>
      <c r="H14" s="246"/>
      <c r="I14" s="246"/>
    </row>
  </sheetData>
  <mergeCells count="7">
    <mergeCell ref="E13:I13"/>
    <mergeCell ref="D3:K3"/>
    <mergeCell ref="A1:C2"/>
    <mergeCell ref="A3:C3"/>
    <mergeCell ref="A5:C5"/>
    <mergeCell ref="A13:C13"/>
    <mergeCell ref="E7:I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4" sqref="A4:P4"/>
    </sheetView>
  </sheetViews>
  <sheetFormatPr defaultColWidth="8.88671875" defaultRowHeight="15"/>
  <cols>
    <col min="1" max="1" width="9.6640625" style="0" customWidth="1"/>
    <col min="2" max="2" width="12.88671875" style="0" customWidth="1"/>
    <col min="4" max="4" width="10.5546875" style="0" customWidth="1"/>
    <col min="6" max="6" width="9.3359375" style="0" customWidth="1"/>
    <col min="7" max="7" width="11.3359375" style="0" customWidth="1"/>
    <col min="10" max="11" width="0" style="0" hidden="1" customWidth="1"/>
  </cols>
  <sheetData>
    <row r="1" spans="1:10" ht="15">
      <c r="A1" s="640" t="s">
        <v>402</v>
      </c>
      <c r="B1" s="641"/>
      <c r="C1" s="642"/>
      <c r="D1" s="194"/>
      <c r="E1" s="194"/>
      <c r="F1" s="194"/>
      <c r="G1" s="194"/>
      <c r="H1" s="194"/>
      <c r="I1" s="391"/>
      <c r="J1" s="391"/>
    </row>
    <row r="2" spans="1:11" ht="15.75">
      <c r="A2" s="643"/>
      <c r="B2" s="586"/>
      <c r="C2" s="587"/>
      <c r="D2" s="1"/>
      <c r="E2" s="1"/>
      <c r="F2" s="1"/>
      <c r="G2" s="1"/>
      <c r="H2" s="1"/>
      <c r="I2" s="186"/>
      <c r="J2" s="186"/>
      <c r="K2" s="390" t="s">
        <v>364</v>
      </c>
    </row>
    <row r="3" spans="1:11" ht="15.75">
      <c r="A3" s="651" t="s">
        <v>300</v>
      </c>
      <c r="B3" s="576"/>
      <c r="C3" s="613"/>
      <c r="D3" s="246" t="s">
        <v>605</v>
      </c>
      <c r="E3" s="246"/>
      <c r="F3" s="415" t="e">
        <f>(250+(350*K3))/12</f>
        <v>#N/A</v>
      </c>
      <c r="G3" s="246" t="s">
        <v>639</v>
      </c>
      <c r="H3" s="246"/>
      <c r="I3" s="246"/>
      <c r="J3" s="186"/>
      <c r="K3" t="e">
        <f>INDEX('Character Record'!K15:K30,MATCH(9,'Character Record'!AA15:AA32,0))</f>
        <v>#N/A</v>
      </c>
    </row>
    <row r="4" spans="1:10" ht="15.75">
      <c r="A4" s="392" t="s">
        <v>135</v>
      </c>
      <c r="B4" s="1" t="s">
        <v>640</v>
      </c>
      <c r="C4" s="416" t="e">
        <f>1+K3</f>
        <v>#N/A</v>
      </c>
      <c r="D4" s="1" t="s">
        <v>641</v>
      </c>
      <c r="E4" s="412" t="s">
        <v>644</v>
      </c>
      <c r="F4" s="393"/>
      <c r="G4" s="1" t="s">
        <v>367</v>
      </c>
      <c r="H4" s="416" t="e">
        <f>80+K3</f>
        <v>#N/A</v>
      </c>
      <c r="I4" s="186"/>
      <c r="J4" s="186"/>
    </row>
    <row r="5" spans="1:11" ht="15.75">
      <c r="A5" s="185" t="s">
        <v>683</v>
      </c>
      <c r="B5" s="1"/>
      <c r="C5" s="416" t="e">
        <f>10*K3+K6</f>
        <v>#N/A</v>
      </c>
      <c r="D5" s="1"/>
      <c r="E5" s="1"/>
      <c r="F5" s="1"/>
      <c r="G5" s="1"/>
      <c r="H5" s="1"/>
      <c r="I5" s="186"/>
      <c r="J5" s="186"/>
      <c r="K5" s="390" t="s">
        <v>684</v>
      </c>
    </row>
    <row r="6" spans="1:11" ht="15">
      <c r="A6" s="185" t="s">
        <v>135</v>
      </c>
      <c r="B6" s="1" t="s">
        <v>685</v>
      </c>
      <c r="C6" s="416" t="e">
        <f>(25*K3*K3)</f>
        <v>#N/A</v>
      </c>
      <c r="D6" s="1" t="s">
        <v>564</v>
      </c>
      <c r="E6" s="1"/>
      <c r="F6" s="1"/>
      <c r="G6" s="1"/>
      <c r="H6" s="1"/>
      <c r="I6" s="186"/>
      <c r="J6" s="186"/>
      <c r="K6">
        <f>'Character Record'!N4</f>
        <v>0</v>
      </c>
    </row>
    <row r="7" spans="1:10" ht="15">
      <c r="A7" s="185" t="s">
        <v>686</v>
      </c>
      <c r="B7" s="1" t="s">
        <v>685</v>
      </c>
      <c r="C7" s="416" t="e">
        <f>(K3*1)*(K3+1)*25</f>
        <v>#N/A</v>
      </c>
      <c r="D7" s="405" t="s">
        <v>564</v>
      </c>
      <c r="E7" s="1"/>
      <c r="F7" s="1"/>
      <c r="G7" s="1"/>
      <c r="H7" s="1"/>
      <c r="I7" s="186"/>
      <c r="J7" s="186"/>
    </row>
    <row r="8" spans="1:10" ht="15">
      <c r="A8" s="404" t="s">
        <v>687</v>
      </c>
      <c r="B8" s="408"/>
      <c r="C8" s="413"/>
      <c r="D8" s="414"/>
      <c r="E8" s="408"/>
      <c r="F8" s="408"/>
      <c r="G8" s="408"/>
      <c r="H8" s="408"/>
      <c r="I8" s="411"/>
      <c r="J8" s="410"/>
    </row>
    <row r="9" spans="1:5" ht="15.75">
      <c r="A9" s="402" t="s">
        <v>653</v>
      </c>
      <c r="C9" s="399" t="s">
        <v>680</v>
      </c>
      <c r="D9" s="405"/>
      <c r="E9" s="410"/>
    </row>
    <row r="10" spans="1:5" ht="15">
      <c r="A10" s="403" t="s">
        <v>675</v>
      </c>
      <c r="B10" s="409"/>
      <c r="C10" s="399" t="s">
        <v>681</v>
      </c>
      <c r="D10" s="405"/>
      <c r="E10" s="410"/>
    </row>
    <row r="11" spans="1:5" ht="15">
      <c r="A11" s="399" t="s">
        <v>661</v>
      </c>
      <c r="B11" s="410"/>
      <c r="C11" s="399" t="s">
        <v>676</v>
      </c>
      <c r="D11" s="405"/>
      <c r="E11" s="410"/>
    </row>
    <row r="12" spans="1:5" ht="15">
      <c r="A12" s="399" t="s">
        <v>662</v>
      </c>
      <c r="B12" s="410"/>
      <c r="C12" s="399" t="s">
        <v>670</v>
      </c>
      <c r="D12" s="405"/>
      <c r="E12" s="410"/>
    </row>
    <row r="13" spans="1:5" ht="15">
      <c r="A13" s="399" t="s">
        <v>663</v>
      </c>
      <c r="B13" s="410"/>
      <c r="C13" s="399" t="s">
        <v>671</v>
      </c>
      <c r="D13" s="405"/>
      <c r="E13" s="410"/>
    </row>
    <row r="14" spans="1:5" ht="15">
      <c r="A14" s="399" t="s">
        <v>665</v>
      </c>
      <c r="B14" s="410"/>
      <c r="C14" s="399" t="s">
        <v>677</v>
      </c>
      <c r="D14" s="405"/>
      <c r="E14" s="410"/>
    </row>
    <row r="15" spans="1:5" ht="15">
      <c r="A15" s="399" t="s">
        <v>678</v>
      </c>
      <c r="B15" s="410"/>
      <c r="C15" s="399" t="s">
        <v>679</v>
      </c>
      <c r="D15" s="405"/>
      <c r="E15" s="410"/>
    </row>
    <row r="16" spans="1:5" ht="15">
      <c r="A16" s="404" t="s">
        <v>668</v>
      </c>
      <c r="B16" s="411"/>
      <c r="C16" s="404" t="s">
        <v>682</v>
      </c>
      <c r="D16" s="408"/>
      <c r="E16" s="411"/>
    </row>
  </sheetData>
  <mergeCells count="2">
    <mergeCell ref="A1:C2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D1">
      <selection activeCell="B4" sqref="A4:P4"/>
    </sheetView>
  </sheetViews>
  <sheetFormatPr defaultColWidth="8.88671875" defaultRowHeight="15"/>
  <cols>
    <col min="1" max="1" width="9.5546875" style="0" customWidth="1"/>
    <col min="2" max="2" width="17.10546875" style="0" customWidth="1"/>
    <col min="3" max="3" width="4.99609375" style="0" customWidth="1"/>
    <col min="4" max="4" width="6.5546875" style="0" customWidth="1"/>
    <col min="5" max="5" width="6.88671875" style="0" customWidth="1"/>
    <col min="6" max="6" width="5.10546875" style="0" customWidth="1"/>
    <col min="7" max="7" width="4.6640625" style="0" customWidth="1"/>
    <col min="8" max="8" width="3.3359375" style="0" customWidth="1"/>
    <col min="9" max="11" width="3.88671875" style="0" customWidth="1"/>
    <col min="12" max="12" width="5.10546875" style="0" customWidth="1"/>
    <col min="13" max="13" width="3.3359375" style="0" customWidth="1"/>
    <col min="14" max="14" width="4.6640625" style="0" customWidth="1"/>
    <col min="15" max="15" width="4.4453125" style="0" customWidth="1"/>
    <col min="16" max="16" width="5.4453125" style="0" customWidth="1"/>
    <col min="17" max="17" width="5.88671875" style="0" customWidth="1"/>
    <col min="18" max="18" width="5.99609375" style="0" customWidth="1"/>
    <col min="19" max="19" width="7.4453125" style="0" customWidth="1"/>
    <col min="20" max="20" width="8.3359375" style="0" customWidth="1"/>
    <col min="21" max="21" width="10.6640625" style="0" customWidth="1"/>
    <col min="22" max="16384" width="11.5546875" style="0" customWidth="1"/>
  </cols>
  <sheetData>
    <row r="1" spans="1:3" ht="15">
      <c r="A1" s="640" t="s">
        <v>402</v>
      </c>
      <c r="B1" s="641"/>
      <c r="C1" s="642"/>
    </row>
    <row r="2" spans="1:3" ht="15">
      <c r="A2" s="643"/>
      <c r="B2" s="586"/>
      <c r="C2" s="587"/>
    </row>
    <row r="3" spans="1:3" ht="15.75">
      <c r="A3" s="576" t="s">
        <v>300</v>
      </c>
      <c r="B3" s="576"/>
      <c r="C3" s="613"/>
    </row>
    <row r="4" spans="1:19" ht="15.75" thickBot="1">
      <c r="A4" s="251" t="s">
        <v>136</v>
      </c>
      <c r="B4" s="579" t="s">
        <v>156</v>
      </c>
      <c r="C4" s="579"/>
      <c r="D4" s="579"/>
      <c r="E4" s="579"/>
      <c r="F4" s="579"/>
      <c r="G4" s="579"/>
      <c r="H4" s="307"/>
      <c r="I4" s="116"/>
      <c r="J4" s="116"/>
      <c r="K4" s="116"/>
      <c r="L4" s="116"/>
      <c r="M4" s="116"/>
      <c r="N4" s="116"/>
      <c r="O4" s="116"/>
      <c r="P4" s="116"/>
      <c r="Q4" s="1"/>
      <c r="R4" s="1"/>
      <c r="S4" s="1"/>
    </row>
    <row r="5" spans="1:21" ht="15.75">
      <c r="A5" s="648" t="s">
        <v>481</v>
      </c>
      <c r="B5" s="603"/>
      <c r="C5" s="270">
        <v>100</v>
      </c>
      <c r="D5" s="663" t="s">
        <v>482</v>
      </c>
      <c r="E5" s="664"/>
      <c r="F5" s="665"/>
      <c r="G5" s="257"/>
      <c r="H5" s="257"/>
      <c r="I5" s="257"/>
      <c r="J5" s="257"/>
      <c r="K5" s="257"/>
      <c r="L5" s="257"/>
      <c r="M5" s="257"/>
      <c r="Q5" s="185"/>
      <c r="R5" s="1"/>
      <c r="S5" s="1"/>
      <c r="U5" s="239" t="s">
        <v>364</v>
      </c>
    </row>
    <row r="6" spans="1:21" ht="15">
      <c r="A6" s="246" t="s">
        <v>580</v>
      </c>
      <c r="B6" s="246"/>
      <c r="C6" s="253" t="e">
        <f>U8+(10*U6)</f>
        <v>#N/A</v>
      </c>
      <c r="D6" s="246" t="s">
        <v>483</v>
      </c>
      <c r="E6" s="246"/>
      <c r="F6" s="264" t="e">
        <f>2*U6</f>
        <v>#N/A</v>
      </c>
      <c r="G6" s="316" t="s">
        <v>581</v>
      </c>
      <c r="H6" s="330"/>
      <c r="I6" s="330"/>
      <c r="J6" s="325"/>
      <c r="K6" s="325"/>
      <c r="L6" s="325"/>
      <c r="M6" s="325"/>
      <c r="N6" s="325"/>
      <c r="O6" s="325"/>
      <c r="P6" s="325"/>
      <c r="Q6" s="334"/>
      <c r="R6" s="260"/>
      <c r="S6" s="260"/>
      <c r="T6" s="257"/>
      <c r="U6" t="e">
        <f>INDEX('Character Record'!K15:K30,MATCH(11,'Character Record'!AA15:AA32,0))</f>
        <v>#N/A</v>
      </c>
    </row>
    <row r="7" spans="1:21" ht="15.75">
      <c r="A7" s="246" t="s">
        <v>484</v>
      </c>
      <c r="B7" s="246"/>
      <c r="C7" s="253" t="e">
        <f>IF(U6&gt;0,(15*U6),"NA")</f>
        <v>#N/A</v>
      </c>
      <c r="D7" s="595" t="s">
        <v>485</v>
      </c>
      <c r="E7" s="595"/>
      <c r="F7" s="246" t="s">
        <v>5</v>
      </c>
      <c r="G7" s="264" t="e">
        <f>30-(2*U6)</f>
        <v>#N/A</v>
      </c>
      <c r="H7" s="316" t="s">
        <v>437</v>
      </c>
      <c r="J7" s="246"/>
      <c r="K7" s="246"/>
      <c r="L7" s="328"/>
      <c r="M7" s="328"/>
      <c r="N7" s="328"/>
      <c r="O7" s="328"/>
      <c r="P7" s="328"/>
      <c r="Q7" s="288"/>
      <c r="R7" s="260"/>
      <c r="S7" s="1"/>
      <c r="T7" s="1"/>
      <c r="U7" s="239" t="s">
        <v>623</v>
      </c>
    </row>
    <row r="8" spans="1:21" ht="15">
      <c r="A8" s="594" t="s">
        <v>488</v>
      </c>
      <c r="B8" s="594"/>
      <c r="C8" s="253" t="e">
        <f>IF(U6&gt;3,100,"NA")</f>
        <v>#N/A</v>
      </c>
      <c r="D8" s="602" t="s">
        <v>487</v>
      </c>
      <c r="E8" s="602"/>
      <c r="F8" s="602"/>
      <c r="G8" s="602"/>
      <c r="H8" s="602"/>
      <c r="I8" s="602"/>
      <c r="J8" s="619"/>
      <c r="K8" s="619"/>
      <c r="L8" s="619"/>
      <c r="M8" s="619"/>
      <c r="N8" s="619"/>
      <c r="O8" s="619"/>
      <c r="P8" s="666"/>
      <c r="Q8" s="185"/>
      <c r="R8" s="1"/>
      <c r="S8" s="1"/>
      <c r="U8">
        <f>PC</f>
        <v>8</v>
      </c>
    </row>
    <row r="9" spans="1:19" ht="15">
      <c r="A9" s="262" t="s">
        <v>489</v>
      </c>
      <c r="B9" s="262"/>
      <c r="C9" s="254" t="e">
        <f>IF(U6&gt;3,50+(5*U6),"NA")</f>
        <v>#N/A</v>
      </c>
      <c r="D9" s="667" t="s">
        <v>490</v>
      </c>
      <c r="E9" s="667"/>
      <c r="F9" s="667"/>
      <c r="Q9" s="185"/>
      <c r="R9" s="1"/>
      <c r="S9" s="1"/>
    </row>
    <row r="10" spans="1:19" ht="15">
      <c r="A10" s="594" t="s">
        <v>491</v>
      </c>
      <c r="B10" s="594"/>
      <c r="C10" s="253" t="e">
        <f>IF(U6&gt;1,100,"NA")</f>
        <v>#N/A</v>
      </c>
      <c r="D10" s="246" t="s">
        <v>492</v>
      </c>
      <c r="E10" s="246"/>
      <c r="F10" s="264" t="e">
        <f>U6*U6</f>
        <v>#N/A</v>
      </c>
      <c r="G10" s="301" t="s">
        <v>424</v>
      </c>
      <c r="H10" s="316" t="s">
        <v>486</v>
      </c>
      <c r="I10" s="329"/>
      <c r="J10" s="331"/>
      <c r="K10" s="264" t="e">
        <f>60-(5*U6)</f>
        <v>#N/A</v>
      </c>
      <c r="L10" s="316" t="s">
        <v>494</v>
      </c>
      <c r="M10" s="330"/>
      <c r="N10" s="330"/>
      <c r="O10" s="331"/>
      <c r="Q10" s="185"/>
      <c r="R10" s="1"/>
      <c r="S10" s="1"/>
    </row>
    <row r="11" spans="1:20" ht="15">
      <c r="A11" s="246" t="s">
        <v>493</v>
      </c>
      <c r="B11" s="246"/>
      <c r="C11" s="253" t="e">
        <f>IF(U6&gt;1,100,"NA")</f>
        <v>#N/A</v>
      </c>
      <c r="D11" s="246" t="s">
        <v>6</v>
      </c>
      <c r="E11" s="246"/>
      <c r="F11" s="351" t="s">
        <v>495</v>
      </c>
      <c r="G11" s="335"/>
      <c r="H11" s="336"/>
      <c r="I11" s="336"/>
      <c r="J11" s="299" t="e">
        <f>U6</f>
        <v>#N/A</v>
      </c>
      <c r="K11" s="623" t="s">
        <v>7</v>
      </c>
      <c r="L11" s="624"/>
      <c r="M11" s="625"/>
      <c r="N11" s="264">
        <f>60-(5*X7)</f>
        <v>60</v>
      </c>
      <c r="O11" s="588" t="s">
        <v>100</v>
      </c>
      <c r="P11" s="589"/>
      <c r="Q11" s="185"/>
      <c r="R11" s="1"/>
      <c r="S11" s="1"/>
      <c r="T11" s="257"/>
    </row>
    <row r="12" spans="1:19" ht="15">
      <c r="A12" s="246" t="s">
        <v>496</v>
      </c>
      <c r="B12" s="246"/>
      <c r="C12" s="253" t="e">
        <f>IF(U6&gt;2,100,"NA")</f>
        <v>#N/A</v>
      </c>
      <c r="D12" s="602" t="s">
        <v>497</v>
      </c>
      <c r="E12" s="623"/>
      <c r="F12" s="286" t="s">
        <v>498</v>
      </c>
      <c r="G12" s="300" t="e">
        <f>(-5+U6)</f>
        <v>#N/A</v>
      </c>
      <c r="H12" s="588" t="s">
        <v>486</v>
      </c>
      <c r="I12" s="605"/>
      <c r="J12" s="252" t="e">
        <f>11-U6</f>
        <v>#N/A</v>
      </c>
      <c r="K12" s="316" t="s">
        <v>494</v>
      </c>
      <c r="L12" s="330"/>
      <c r="M12" s="330"/>
      <c r="N12" s="331"/>
      <c r="Q12" s="185"/>
      <c r="R12" s="1"/>
      <c r="S12" s="1"/>
    </row>
    <row r="13" spans="1:19" ht="15">
      <c r="A13" s="246" t="s">
        <v>433</v>
      </c>
      <c r="B13" s="246"/>
      <c r="C13" s="253" t="e">
        <f>IF(U6&gt;2,100,"NA")</f>
        <v>#N/A</v>
      </c>
      <c r="D13" s="623" t="s">
        <v>486</v>
      </c>
      <c r="E13" s="625"/>
      <c r="F13" s="264" t="e">
        <f>11-U6</f>
        <v>#N/A</v>
      </c>
      <c r="G13" s="316" t="s">
        <v>438</v>
      </c>
      <c r="H13" s="328"/>
      <c r="I13" s="328"/>
      <c r="J13" s="325"/>
      <c r="K13" s="262" t="s">
        <v>434</v>
      </c>
      <c r="M13" s="262"/>
      <c r="N13" s="246"/>
      <c r="O13" s="1"/>
      <c r="Q13" s="185"/>
      <c r="R13" s="1"/>
      <c r="S13" s="1"/>
    </row>
    <row r="14" spans="1:19" ht="15">
      <c r="A14" s="246" t="s">
        <v>435</v>
      </c>
      <c r="B14" s="246"/>
      <c r="C14" s="253" t="e">
        <f>IF(U6&gt;4,100,"NA")</f>
        <v>#N/A</v>
      </c>
      <c r="D14" s="246" t="s">
        <v>436</v>
      </c>
      <c r="E14" s="246"/>
      <c r="F14" s="246"/>
      <c r="G14" s="246"/>
      <c r="H14" s="252" t="e">
        <f>50-3*U6</f>
        <v>#N/A</v>
      </c>
      <c r="I14" s="248" t="s">
        <v>572</v>
      </c>
      <c r="J14" s="248"/>
      <c r="K14" s="248"/>
      <c r="L14" s="248"/>
      <c r="M14" s="248"/>
      <c r="N14" s="248"/>
      <c r="O14" s="248"/>
      <c r="P14" s="316"/>
      <c r="Q14" s="288"/>
      <c r="R14" s="1"/>
      <c r="S14" s="1"/>
    </row>
    <row r="15" spans="1:19" ht="15">
      <c r="A15" s="246" t="s">
        <v>573</v>
      </c>
      <c r="B15" s="246"/>
      <c r="C15" s="253" t="e">
        <f>IF(U6&gt;5,100,"NA")</f>
        <v>#N/A</v>
      </c>
      <c r="D15" s="246" t="s">
        <v>436</v>
      </c>
      <c r="E15" s="246"/>
      <c r="F15" s="246"/>
      <c r="G15" s="246"/>
      <c r="H15" s="252" t="e">
        <f>50-3*U6</f>
        <v>#N/A</v>
      </c>
      <c r="I15" s="248" t="s">
        <v>574</v>
      </c>
      <c r="J15" s="248"/>
      <c r="K15" s="248"/>
      <c r="L15" s="248"/>
      <c r="M15" s="248"/>
      <c r="N15" s="248"/>
      <c r="O15" s="248"/>
      <c r="P15" s="316"/>
      <c r="Q15" s="288"/>
      <c r="R15" s="1"/>
      <c r="S15" s="1"/>
    </row>
    <row r="16" spans="1:19" ht="15">
      <c r="A16" s="594" t="s">
        <v>575</v>
      </c>
      <c r="B16" s="594"/>
      <c r="C16" s="253" t="e">
        <f>IF(U6&gt;6,100,"NA")</f>
        <v>#N/A</v>
      </c>
      <c r="D16" s="623" t="s">
        <v>576</v>
      </c>
      <c r="E16" s="624"/>
      <c r="F16" s="624"/>
      <c r="G16" s="625"/>
      <c r="H16" s="252" t="e">
        <f>50-3*U6</f>
        <v>#N/A</v>
      </c>
      <c r="I16" s="248" t="s">
        <v>8</v>
      </c>
      <c r="J16" s="248"/>
      <c r="K16" s="248"/>
      <c r="L16" s="248"/>
      <c r="M16" s="248"/>
      <c r="N16" s="248"/>
      <c r="O16" s="248"/>
      <c r="P16" s="316"/>
      <c r="Q16" s="288"/>
      <c r="R16" s="1"/>
      <c r="S16" s="1"/>
    </row>
    <row r="17" spans="1:19" ht="15">
      <c r="A17" s="246" t="s">
        <v>577</v>
      </c>
      <c r="B17" s="246"/>
      <c r="C17" s="253" t="e">
        <f>IF(U6&gt;4,100,"NA")</f>
        <v>#N/A</v>
      </c>
      <c r="D17" s="246" t="s">
        <v>578</v>
      </c>
      <c r="E17" s="246"/>
      <c r="F17" s="246"/>
      <c r="G17" s="246"/>
      <c r="H17" s="246"/>
      <c r="I17" s="352" t="e">
        <f>U6</f>
        <v>#N/A</v>
      </c>
      <c r="J17" s="248" t="s">
        <v>579</v>
      </c>
      <c r="K17" s="339"/>
      <c r="M17" s="352" t="e">
        <f>(60-(5*U6))</f>
        <v>#N/A</v>
      </c>
      <c r="N17" s="316" t="s">
        <v>100</v>
      </c>
      <c r="O17" s="246"/>
      <c r="Q17" s="288"/>
      <c r="R17" s="1"/>
      <c r="S17" s="1"/>
    </row>
    <row r="18" spans="1:19" ht="15">
      <c r="A18" s="246" t="s">
        <v>582</v>
      </c>
      <c r="B18" s="246"/>
      <c r="C18" s="253" t="e">
        <f>IF(U6&gt;7,8*U6,"NA")</f>
        <v>#N/A</v>
      </c>
      <c r="D18" s="595" t="s">
        <v>583</v>
      </c>
      <c r="E18" s="595"/>
      <c r="F18" s="246" t="s">
        <v>314</v>
      </c>
      <c r="G18" s="246"/>
      <c r="H18" s="246"/>
      <c r="I18" s="248"/>
      <c r="J18" s="248"/>
      <c r="K18" s="248"/>
      <c r="L18" s="256"/>
      <c r="M18" s="256"/>
      <c r="N18" s="256"/>
      <c r="O18" s="256"/>
      <c r="P18" s="321"/>
      <c r="Q18" s="288"/>
      <c r="R18" s="1"/>
      <c r="S18" s="1"/>
    </row>
    <row r="19" spans="1:17" ht="15.75" thickBot="1">
      <c r="A19" s="246" t="s">
        <v>315</v>
      </c>
      <c r="B19" s="246"/>
      <c r="C19" s="253" t="e">
        <f>IF(U6&gt;8,100,"NA")</f>
        <v>#N/A</v>
      </c>
      <c r="D19" s="246" t="s">
        <v>316</v>
      </c>
      <c r="E19" s="246"/>
      <c r="F19" s="246"/>
      <c r="G19" s="246"/>
      <c r="H19" s="262"/>
      <c r="I19" s="262"/>
      <c r="J19" s="262"/>
      <c r="K19" s="193"/>
      <c r="L19" s="321" t="s">
        <v>9</v>
      </c>
      <c r="M19" s="325"/>
      <c r="N19" s="325"/>
      <c r="O19" s="330"/>
      <c r="P19" s="331"/>
      <c r="Q19" s="1"/>
    </row>
    <row r="20" spans="1:17" ht="15.75" thickBot="1">
      <c r="A20" s="262" t="s">
        <v>317</v>
      </c>
      <c r="B20" s="262"/>
      <c r="C20" s="253" t="e">
        <f>IF(U6&gt;8,100,"NA")</f>
        <v>#N/A</v>
      </c>
      <c r="D20" s="262" t="s">
        <v>348</v>
      </c>
      <c r="E20" s="262"/>
      <c r="F20" s="303" t="e">
        <f>15-U6</f>
        <v>#N/A</v>
      </c>
      <c r="G20" s="195" t="s">
        <v>318</v>
      </c>
      <c r="H20" s="357">
        <v>0</v>
      </c>
      <c r="I20" s="358" t="s">
        <v>10</v>
      </c>
      <c r="J20" s="359"/>
      <c r="K20" s="359"/>
      <c r="L20" s="359"/>
      <c r="M20" s="360"/>
      <c r="N20" s="361"/>
      <c r="Q20" s="1"/>
    </row>
    <row r="21" spans="1:17" ht="15.75" thickBot="1">
      <c r="A21" s="654" t="s">
        <v>319</v>
      </c>
      <c r="B21" s="656"/>
      <c r="D21" s="654" t="s">
        <v>327</v>
      </c>
      <c r="E21" s="655"/>
      <c r="F21" s="656"/>
      <c r="H21" s="362">
        <v>1</v>
      </c>
      <c r="I21" s="316" t="s">
        <v>20</v>
      </c>
      <c r="J21" s="328"/>
      <c r="K21" s="328"/>
      <c r="L21" s="328"/>
      <c r="M21" s="200"/>
      <c r="N21" s="363"/>
      <c r="Q21" s="1"/>
    </row>
    <row r="22" spans="1:14" ht="15">
      <c r="A22" s="657" t="s">
        <v>320</v>
      </c>
      <c r="B22" s="658"/>
      <c r="D22" s="371" t="s">
        <v>328</v>
      </c>
      <c r="E22" s="304"/>
      <c r="F22" s="372">
        <v>600</v>
      </c>
      <c r="H22" s="364">
        <v>2</v>
      </c>
      <c r="I22" s="353" t="s">
        <v>11</v>
      </c>
      <c r="J22" s="354"/>
      <c r="K22" s="354"/>
      <c r="L22" s="354"/>
      <c r="M22" s="355"/>
      <c r="N22" s="365"/>
    </row>
    <row r="23" spans="1:14" ht="15">
      <c r="A23" s="659" t="s">
        <v>321</v>
      </c>
      <c r="B23" s="660"/>
      <c r="D23" s="373" t="s">
        <v>329</v>
      </c>
      <c r="E23" s="246"/>
      <c r="F23" s="374">
        <v>600</v>
      </c>
      <c r="H23" s="362">
        <v>3</v>
      </c>
      <c r="I23" s="332" t="s">
        <v>12</v>
      </c>
      <c r="J23" s="333"/>
      <c r="K23" s="333"/>
      <c r="L23" s="333"/>
      <c r="M23" s="188"/>
      <c r="N23" s="366"/>
    </row>
    <row r="24" spans="1:14" ht="15">
      <c r="A24" s="661" t="s">
        <v>323</v>
      </c>
      <c r="B24" s="662"/>
      <c r="D24" s="375" t="s">
        <v>330</v>
      </c>
      <c r="E24" s="302"/>
      <c r="F24" s="376">
        <v>650</v>
      </c>
      <c r="H24" s="364">
        <v>4</v>
      </c>
      <c r="I24" s="353" t="s">
        <v>13</v>
      </c>
      <c r="J24" s="354"/>
      <c r="K24" s="354"/>
      <c r="L24" s="354"/>
      <c r="M24" s="355"/>
      <c r="N24" s="365"/>
    </row>
    <row r="25" spans="1:14" ht="15">
      <c r="A25" s="659" t="s">
        <v>322</v>
      </c>
      <c r="B25" s="660"/>
      <c r="D25" s="373" t="s">
        <v>333</v>
      </c>
      <c r="E25" s="246"/>
      <c r="F25" s="374">
        <v>700</v>
      </c>
      <c r="H25" s="362">
        <v>5</v>
      </c>
      <c r="I25" s="332" t="s">
        <v>14</v>
      </c>
      <c r="J25" s="333"/>
      <c r="K25" s="333"/>
      <c r="L25" s="333"/>
      <c r="M25" s="188"/>
      <c r="N25" s="366"/>
    </row>
    <row r="26" spans="1:14" ht="15">
      <c r="A26" s="661" t="s">
        <v>324</v>
      </c>
      <c r="B26" s="662"/>
      <c r="D26" s="375" t="s">
        <v>331</v>
      </c>
      <c r="E26" s="302"/>
      <c r="F26" s="376">
        <v>1500</v>
      </c>
      <c r="H26" s="364">
        <v>6</v>
      </c>
      <c r="I26" s="356" t="s">
        <v>15</v>
      </c>
      <c r="J26" s="355"/>
      <c r="K26" s="355"/>
      <c r="L26" s="355"/>
      <c r="M26" s="355"/>
      <c r="N26" s="365"/>
    </row>
    <row r="27" spans="1:14" ht="15.75" thickBot="1">
      <c r="A27" s="373" t="s">
        <v>325</v>
      </c>
      <c r="B27" s="374"/>
      <c r="D27" s="377" t="s">
        <v>332</v>
      </c>
      <c r="E27" s="251"/>
      <c r="F27" s="378">
        <v>2500</v>
      </c>
      <c r="H27" s="362">
        <v>7</v>
      </c>
      <c r="I27" s="187" t="s">
        <v>16</v>
      </c>
      <c r="J27" s="188"/>
      <c r="K27" s="188"/>
      <c r="L27" s="188"/>
      <c r="M27" s="188"/>
      <c r="N27" s="366"/>
    </row>
    <row r="28" spans="1:14" ht="15.75" thickBot="1">
      <c r="A28" s="652" t="s">
        <v>326</v>
      </c>
      <c r="B28" s="653"/>
      <c r="H28" s="364">
        <v>8</v>
      </c>
      <c r="I28" s="356" t="s">
        <v>17</v>
      </c>
      <c r="J28" s="355"/>
      <c r="K28" s="355"/>
      <c r="L28" s="355"/>
      <c r="M28" s="355"/>
      <c r="N28" s="365"/>
    </row>
    <row r="29" spans="8:14" ht="15">
      <c r="H29" s="362">
        <v>9</v>
      </c>
      <c r="I29" s="187" t="s">
        <v>18</v>
      </c>
      <c r="J29" s="188"/>
      <c r="K29" s="188"/>
      <c r="L29" s="188"/>
      <c r="M29" s="188"/>
      <c r="N29" s="366"/>
    </row>
    <row r="30" spans="8:14" ht="15.75" thickBot="1">
      <c r="H30" s="367">
        <v>0</v>
      </c>
      <c r="I30" s="368" t="s">
        <v>19</v>
      </c>
      <c r="J30" s="369"/>
      <c r="K30" s="369"/>
      <c r="L30" s="369"/>
      <c r="M30" s="369"/>
      <c r="N30" s="370"/>
    </row>
  </sheetData>
  <mergeCells count="26">
    <mergeCell ref="A10:B10"/>
    <mergeCell ref="D9:F9"/>
    <mergeCell ref="D12:E12"/>
    <mergeCell ref="D16:G16"/>
    <mergeCell ref="K11:M11"/>
    <mergeCell ref="A1:C2"/>
    <mergeCell ref="A3:C3"/>
    <mergeCell ref="D5:F5"/>
    <mergeCell ref="A8:B8"/>
    <mergeCell ref="D8:P8"/>
    <mergeCell ref="D7:E7"/>
    <mergeCell ref="B4:G4"/>
    <mergeCell ref="O11:P11"/>
    <mergeCell ref="A5:B5"/>
    <mergeCell ref="D18:E18"/>
    <mergeCell ref="A26:B26"/>
    <mergeCell ref="A21:B21"/>
    <mergeCell ref="H12:I12"/>
    <mergeCell ref="D13:E13"/>
    <mergeCell ref="A16:B16"/>
    <mergeCell ref="A28:B28"/>
    <mergeCell ref="D21:F21"/>
    <mergeCell ref="A22:B22"/>
    <mergeCell ref="A23:B23"/>
    <mergeCell ref="A24:B24"/>
    <mergeCell ref="A25:B25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C4" sqref="A4:P4"/>
    </sheetView>
  </sheetViews>
  <sheetFormatPr defaultColWidth="8.88671875" defaultRowHeight="15"/>
  <cols>
    <col min="1" max="1" width="8.4453125" style="0" customWidth="1"/>
    <col min="2" max="2" width="6.4453125" style="0" customWidth="1"/>
    <col min="3" max="3" width="12.10546875" style="0" customWidth="1"/>
    <col min="4" max="4" width="5.99609375" style="0" customWidth="1"/>
    <col min="5" max="5" width="5.4453125" style="0" customWidth="1"/>
    <col min="6" max="6" width="4.99609375" style="0" customWidth="1"/>
    <col min="7" max="7" width="4.6640625" style="0" customWidth="1"/>
    <col min="8" max="9" width="5.4453125" style="0" customWidth="1"/>
    <col min="10" max="10" width="5.10546875" style="0" customWidth="1"/>
    <col min="11" max="11" width="5.4453125" style="0" customWidth="1"/>
    <col min="12" max="12" width="3.99609375" style="0" customWidth="1"/>
    <col min="13" max="13" width="8.99609375" style="0" customWidth="1"/>
    <col min="14" max="14" width="6.88671875" style="0" customWidth="1"/>
    <col min="15" max="16" width="10.6640625" style="0" hidden="1" customWidth="1"/>
    <col min="17" max="16384" width="11.5546875" style="0" customWidth="1"/>
  </cols>
  <sheetData>
    <row r="1" spans="1:3" ht="15">
      <c r="A1" s="640" t="s">
        <v>402</v>
      </c>
      <c r="B1" s="641"/>
      <c r="C1" s="642"/>
    </row>
    <row r="2" spans="1:3" ht="15">
      <c r="A2" s="643"/>
      <c r="B2" s="586"/>
      <c r="C2" s="587"/>
    </row>
    <row r="3" spans="1:8" ht="15.75">
      <c r="A3" s="651" t="s">
        <v>300</v>
      </c>
      <c r="B3" s="576"/>
      <c r="C3" s="613"/>
      <c r="D3" s="246" t="s">
        <v>182</v>
      </c>
      <c r="E3" s="246"/>
      <c r="F3" s="246"/>
      <c r="G3" s="259" t="e">
        <f>150+(150*P5)</f>
        <v>#N/A</v>
      </c>
      <c r="H3" s="246" t="s">
        <v>121</v>
      </c>
    </row>
    <row r="4" spans="1:16" ht="16.5" thickBot="1">
      <c r="A4" s="668" t="s">
        <v>137</v>
      </c>
      <c r="B4" s="668"/>
      <c r="C4" s="273" t="s">
        <v>274</v>
      </c>
      <c r="D4" s="251" t="s">
        <v>157</v>
      </c>
      <c r="E4" s="251"/>
      <c r="F4" s="251"/>
      <c r="G4" s="251"/>
      <c r="H4" s="251"/>
      <c r="I4" s="251"/>
      <c r="J4" s="251"/>
      <c r="K4" s="251"/>
      <c r="L4" s="116"/>
      <c r="M4" s="116"/>
      <c r="N4" s="116"/>
      <c r="P4" s="239" t="s">
        <v>364</v>
      </c>
    </row>
    <row r="5" spans="1:16" ht="15">
      <c r="A5" s="648" t="str">
        <f>IF(P7&lt;15,"Increase needed exp to rank by",IF(P7&gt;22,"Decrease needed exp to rank by","No extra experince need to rank"))</f>
        <v>No extra experince need to rank</v>
      </c>
      <c r="B5" s="649"/>
      <c r="C5" s="603"/>
      <c r="D5" s="309" t="str">
        <f>IF(OR(P7&gt;22,P7&lt;15),"10%","NA")</f>
        <v>NA</v>
      </c>
      <c r="P5" t="e">
        <f>INDEX('Character Record'!K15:K30,MATCH(15,'Character Record'!AA15:AA32,0))</f>
        <v>#N/A</v>
      </c>
    </row>
    <row r="6" spans="1:16" ht="15.75">
      <c r="A6" s="615" t="s">
        <v>158</v>
      </c>
      <c r="B6" s="615"/>
      <c r="C6" s="615"/>
      <c r="D6" s="254" t="e">
        <f>IF(P5&gt;0,25-P5,"NA")</f>
        <v>#N/A</v>
      </c>
      <c r="E6" s="262" t="s">
        <v>424</v>
      </c>
      <c r="F6" s="262" t="s">
        <v>273</v>
      </c>
      <c r="G6" s="262"/>
      <c r="H6" s="311">
        <f>125</f>
        <v>125</v>
      </c>
      <c r="I6" s="267" t="s">
        <v>167</v>
      </c>
      <c r="J6" s="308"/>
      <c r="K6" s="246" t="s">
        <v>170</v>
      </c>
      <c r="L6" s="248"/>
      <c r="M6" s="297"/>
      <c r="N6" s="297"/>
      <c r="P6" s="239" t="s">
        <v>622</v>
      </c>
    </row>
    <row r="7" spans="1:16" ht="15">
      <c r="A7" s="246" t="s">
        <v>168</v>
      </c>
      <c r="B7" s="246"/>
      <c r="C7" s="246"/>
      <c r="D7" s="253" t="e">
        <f>P5</f>
        <v>#N/A</v>
      </c>
      <c r="E7" s="298" t="s">
        <v>189</v>
      </c>
      <c r="F7" s="594" t="s">
        <v>160</v>
      </c>
      <c r="G7" s="594"/>
      <c r="H7" s="594"/>
      <c r="I7" s="594"/>
      <c r="J7" s="594"/>
      <c r="K7" s="594"/>
      <c r="L7" s="594"/>
      <c r="M7" s="594"/>
      <c r="P7" s="123">
        <f>MD</f>
        <v>15</v>
      </c>
    </row>
    <row r="8" spans="1:14" ht="15">
      <c r="A8" s="262" t="s">
        <v>169</v>
      </c>
      <c r="B8" s="262"/>
      <c r="C8" s="262"/>
      <c r="D8" s="254" t="e">
        <f>10+P5</f>
        <v>#N/A</v>
      </c>
      <c r="E8" s="262" t="s">
        <v>161</v>
      </c>
      <c r="F8" s="271"/>
      <c r="G8" s="271"/>
      <c r="H8" s="271"/>
      <c r="I8" s="271"/>
      <c r="J8" s="271"/>
      <c r="K8" s="309" t="e">
        <f>P5</f>
        <v>#N/A</v>
      </c>
      <c r="L8" s="271" t="s">
        <v>418</v>
      </c>
      <c r="M8" s="257"/>
      <c r="N8" s="257"/>
    </row>
    <row r="9" spans="1:14" ht="15">
      <c r="A9" s="246" t="s">
        <v>162</v>
      </c>
      <c r="B9" s="246"/>
      <c r="C9" s="246"/>
      <c r="D9" s="253" t="e">
        <f>1+P5</f>
        <v>#N/A</v>
      </c>
      <c r="E9" s="623" t="s">
        <v>163</v>
      </c>
      <c r="F9" s="625"/>
      <c r="G9" s="252" t="e">
        <f>12-P5</f>
        <v>#N/A</v>
      </c>
      <c r="H9" s="246" t="s">
        <v>424</v>
      </c>
      <c r="I9" s="246" t="s">
        <v>171</v>
      </c>
      <c r="J9" s="246"/>
      <c r="K9" s="246"/>
      <c r="L9" s="246"/>
      <c r="M9" s="246"/>
      <c r="N9" s="246"/>
    </row>
    <row r="10" spans="1:14" ht="15">
      <c r="A10" s="246" t="s">
        <v>164</v>
      </c>
      <c r="B10" s="246"/>
      <c r="C10" s="246"/>
      <c r="D10" s="253">
        <v>100</v>
      </c>
      <c r="E10" s="267" t="s">
        <v>165</v>
      </c>
      <c r="F10" s="308"/>
      <c r="G10" s="246" t="s">
        <v>121</v>
      </c>
      <c r="H10" t="s">
        <v>159</v>
      </c>
      <c r="I10" s="252" t="e">
        <f>10-P5</f>
        <v>#N/A</v>
      </c>
      <c r="J10" s="267" t="s">
        <v>165</v>
      </c>
      <c r="K10" s="308"/>
      <c r="L10" s="623" t="s">
        <v>720</v>
      </c>
      <c r="M10" s="624"/>
      <c r="N10" s="625"/>
    </row>
    <row r="11" spans="1:13" ht="15">
      <c r="A11" s="246" t="s">
        <v>166</v>
      </c>
      <c r="B11" s="246"/>
      <c r="C11" s="246"/>
      <c r="D11" s="253" t="e">
        <f>330-(30*P5)</f>
        <v>#N/A</v>
      </c>
      <c r="E11" s="246" t="s">
        <v>175</v>
      </c>
      <c r="F11" s="246" t="s">
        <v>273</v>
      </c>
      <c r="G11" s="246"/>
      <c r="H11" s="259">
        <f>25</f>
        <v>25</v>
      </c>
      <c r="I11" s="267" t="s">
        <v>172</v>
      </c>
      <c r="J11" s="308"/>
      <c r="M11" s="310"/>
    </row>
    <row r="12" spans="1:10" ht="15">
      <c r="A12" s="262" t="s">
        <v>173</v>
      </c>
      <c r="B12" s="262"/>
      <c r="C12" s="262"/>
      <c r="D12" s="254" t="e">
        <f>15-P5</f>
        <v>#N/A</v>
      </c>
      <c r="E12" s="262" t="s">
        <v>432</v>
      </c>
      <c r="F12" s="262" t="s">
        <v>273</v>
      </c>
      <c r="G12" s="262"/>
      <c r="H12" s="287">
        <v>100</v>
      </c>
      <c r="I12" s="312" t="s">
        <v>174</v>
      </c>
      <c r="J12" s="276"/>
    </row>
    <row r="13" spans="1:11" ht="15">
      <c r="A13" s="246" t="s">
        <v>176</v>
      </c>
      <c r="B13" s="246"/>
      <c r="C13" s="246"/>
      <c r="D13" s="253" t="e">
        <f>CEILING(P5/5,1)</f>
        <v>#N/A</v>
      </c>
      <c r="E13" s="246" t="s">
        <v>178</v>
      </c>
      <c r="F13" s="246"/>
      <c r="G13" s="246"/>
      <c r="H13" s="246"/>
      <c r="I13" s="246"/>
      <c r="J13" s="246"/>
      <c r="K13" s="246"/>
    </row>
    <row r="14" spans="1:11" ht="15">
      <c r="A14" s="246" t="s">
        <v>177</v>
      </c>
      <c r="B14" s="246"/>
      <c r="C14" s="246"/>
      <c r="D14" s="253" t="e">
        <f>CEILING(P5/2,1)</f>
        <v>#N/A</v>
      </c>
      <c r="E14" s="246" t="s">
        <v>178</v>
      </c>
      <c r="F14" s="246"/>
      <c r="G14" s="246"/>
      <c r="H14" s="246"/>
      <c r="I14" s="246"/>
      <c r="J14" s="246"/>
      <c r="K14" s="246"/>
    </row>
    <row r="15" spans="1:6" ht="15">
      <c r="A15" s="262" t="s">
        <v>179</v>
      </c>
      <c r="B15" s="262"/>
      <c r="C15" s="262"/>
      <c r="D15" s="254" t="e">
        <f>25+(10*P5)</f>
        <v>#N/A</v>
      </c>
      <c r="E15" s="262" t="s">
        <v>180</v>
      </c>
      <c r="F15" s="262"/>
    </row>
    <row r="16" spans="1:8" ht="15">
      <c r="A16" s="246" t="s">
        <v>181</v>
      </c>
      <c r="B16" s="246"/>
      <c r="C16" s="246"/>
      <c r="D16" s="253">
        <v>100</v>
      </c>
      <c r="E16" s="246" t="s">
        <v>486</v>
      </c>
      <c r="F16" s="246"/>
      <c r="G16" s="252" t="e">
        <f>12-P5</f>
        <v>#N/A</v>
      </c>
      <c r="H16" s="246" t="s">
        <v>175</v>
      </c>
    </row>
  </sheetData>
  <mergeCells count="8">
    <mergeCell ref="L10:N10"/>
    <mergeCell ref="F7:M7"/>
    <mergeCell ref="A4:B4"/>
    <mergeCell ref="A5:C5"/>
    <mergeCell ref="A1:C2"/>
    <mergeCell ref="A3:C3"/>
    <mergeCell ref="A6:C6"/>
    <mergeCell ref="E9:F9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jrda</cp:lastModifiedBy>
  <cp:lastPrinted>2003-09-15T07:36:32Z</cp:lastPrinted>
  <dcterms:created xsi:type="dcterms:W3CDTF">1998-04-22T03:04:46Z</dcterms:created>
  <dcterms:modified xsi:type="dcterms:W3CDTF">2003-09-19T15:13:39Z</dcterms:modified>
  <cp:category/>
  <cp:version/>
  <cp:contentType/>
  <cp:contentStatus/>
</cp:coreProperties>
</file>