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3345" activeTab="1"/>
  </bookViews>
  <sheets>
    <sheet name="Character Record" sheetId="1" r:id="rId1"/>
    <sheet name="Magic Record" sheetId="2" r:id="rId2"/>
    <sheet name="Magic Items" sheetId="3" r:id="rId3"/>
  </sheets>
  <externalReferences>
    <externalReference r:id="rId6"/>
    <externalReference r:id="rId7"/>
  </externalReferences>
  <definedNames>
    <definedName name="_xlnm.Print_Area" localSheetId="0">'Character Record'!$A$1:$R$53</definedName>
    <definedName name="_xlnm.Print_Area" localSheetId="2">'Magic Items'!$A$1:$J$48</definedName>
    <definedName name="_xlnm.Print_Area" localSheetId="1">'Magic Record'!$A$1:$J$48</definedName>
  </definedNames>
  <calcPr fullCalcOnLoad="1"/>
</workbook>
</file>

<file path=xl/sharedStrings.xml><?xml version="1.0" encoding="utf-8"?>
<sst xmlns="http://schemas.openxmlformats.org/spreadsheetml/2006/main" count="289" uniqueCount="207">
  <si>
    <t>Dragon Quest</t>
  </si>
  <si>
    <t>Experience spent</t>
  </si>
  <si>
    <t>creating character</t>
  </si>
  <si>
    <t>Experience multiplier</t>
  </si>
  <si>
    <t>Grand Total</t>
  </si>
  <si>
    <t xml:space="preserve">          CHARACTER RECORD - MAGIC SPELLS</t>
  </si>
  <si>
    <t>Character name:</t>
  </si>
  <si>
    <t>College:</t>
  </si>
  <si>
    <t>Magic Modifiers:</t>
  </si>
  <si>
    <t>Code</t>
  </si>
  <si>
    <t>Name</t>
  </si>
  <si>
    <t>Effect</t>
  </si>
  <si>
    <t>Rk</t>
  </si>
  <si>
    <t>Base%</t>
  </si>
  <si>
    <t>Resist</t>
  </si>
  <si>
    <t>Range</t>
  </si>
  <si>
    <t>Sub total</t>
  </si>
  <si>
    <t>Total magic experience spent</t>
  </si>
  <si>
    <t>Non-magic Total</t>
  </si>
  <si>
    <t>Main %</t>
  </si>
  <si>
    <t>Important note:</t>
  </si>
  <si>
    <t>Main%=Base%+Rank*3+each MA over 15</t>
  </si>
  <si>
    <t xml:space="preserve"> </t>
  </si>
  <si>
    <t>P</t>
  </si>
  <si>
    <t>A</t>
  </si>
  <si>
    <t>T-1</t>
  </si>
  <si>
    <t>Self</t>
  </si>
  <si>
    <t>Immediate</t>
  </si>
  <si>
    <t>Auto.</t>
  </si>
  <si>
    <t>T-2</t>
  </si>
  <si>
    <t>T-3</t>
  </si>
  <si>
    <t>G-1</t>
  </si>
  <si>
    <t>G-2</t>
  </si>
  <si>
    <t>G-3</t>
  </si>
  <si>
    <t>None</t>
  </si>
  <si>
    <t>G-4</t>
  </si>
  <si>
    <t>G-5</t>
  </si>
  <si>
    <t>Special</t>
  </si>
  <si>
    <t>G-6</t>
  </si>
  <si>
    <t>G-7</t>
  </si>
  <si>
    <t>Q-1</t>
  </si>
  <si>
    <t>Purification</t>
  </si>
  <si>
    <t>Duration</t>
  </si>
  <si>
    <t>EM</t>
  </si>
  <si>
    <t>Q-2</t>
  </si>
  <si>
    <t>G-8</t>
  </si>
  <si>
    <t>G-9</t>
  </si>
  <si>
    <t>Speak with dark aspected creatures</t>
  </si>
  <si>
    <t>Q-3</t>
  </si>
  <si>
    <t>Night Vision</t>
  </si>
  <si>
    <t>See in the dark as a cat</t>
  </si>
  <si>
    <t>Always</t>
  </si>
  <si>
    <t>Detect Aura</t>
  </si>
  <si>
    <t>Gain info. from aura</t>
  </si>
  <si>
    <t>Blending</t>
  </si>
  <si>
    <t>Target is unnoticed while still</t>
  </si>
  <si>
    <t>Light</t>
  </si>
  <si>
    <t>Darkness</t>
  </si>
  <si>
    <t>Shadow Form</t>
  </si>
  <si>
    <t>Wall of Starlight</t>
  </si>
  <si>
    <t>Wall of Darkness</t>
  </si>
  <si>
    <t>G-10</t>
  </si>
  <si>
    <t>G-11</t>
  </si>
  <si>
    <t>Witchsight</t>
  </si>
  <si>
    <t>Charismatic Aura</t>
  </si>
  <si>
    <t>Walking Unseen</t>
  </si>
  <si>
    <t>Read the Night Sky</t>
  </si>
  <si>
    <t>Summ Dark Creature</t>
  </si>
  <si>
    <t>Speak: Dark Creature</t>
  </si>
  <si>
    <t>Fortell the future</t>
  </si>
  <si>
    <t>Concentration</t>
  </si>
  <si>
    <t>See invisible and in the dark</t>
  </si>
  <si>
    <t>Target may move unnoticed</t>
  </si>
  <si>
    <t>General Counterspell</t>
  </si>
  <si>
    <t>Special Counterspell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</si>
  <si>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</si>
  <si>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</si>
  <si>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</si>
  <si>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</si>
  <si>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</si>
  <si>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</si>
  <si>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</si>
  <si>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</si>
  <si>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</si>
  <si>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</si>
  <si>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</si>
  <si>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</si>
  <si>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</si>
  <si>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</si>
  <si>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</si>
  <si>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</si>
  <si>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</si>
  <si>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</si>
  <si>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</si>
  <si>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</si>
  <si>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HAND:</t>
  </si>
  <si>
    <t>RANK</t>
  </si>
  <si>
    <t>WEAPON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</si>
  <si>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</si>
  <si>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</si>
  <si>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</si>
  <si>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</si>
  <si>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</si>
  <si>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</si>
  <si>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</si>
  <si>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</si>
  <si>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</si>
  <si>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WGT</t>
  </si>
  <si>
    <t>PRO</t>
  </si>
  <si>
    <t>&lt;-- Note: extra magic armor protection could go here</t>
  </si>
  <si>
    <t>SHIELD</t>
  </si>
  <si>
    <t>RK</t>
  </si>
  <si>
    <t>%</t>
  </si>
  <si>
    <t>&lt;-- Note: extra magic shield protection could go here</t>
  </si>
  <si>
    <t>POSSESSIONS</t>
  </si>
  <si>
    <t>WEIGHT</t>
  </si>
  <si>
    <t>COLLEGE:</t>
  </si>
  <si>
    <t>MAGIC RESISTANCE:</t>
  </si>
  <si>
    <t>SKILLS</t>
  </si>
  <si>
    <t>ABILITY</t>
  </si>
  <si>
    <t>EFFECT</t>
  </si>
  <si>
    <t>Horsemanship</t>
  </si>
  <si>
    <t>Ride Mount</t>
  </si>
  <si>
    <t>Stealth</t>
  </si>
  <si>
    <t>Sneak</t>
  </si>
  <si>
    <t>Move unnoticed</t>
  </si>
  <si>
    <t>Climbing</t>
  </si>
  <si>
    <t>Climb Surface</t>
  </si>
  <si>
    <t>Climb without use of tools</t>
  </si>
  <si>
    <t>Swimming</t>
  </si>
  <si>
    <t>Hold Breath</t>
  </si>
  <si>
    <t>Perform action in water</t>
  </si>
  <si>
    <t>Flying</t>
  </si>
  <si>
    <t>Control Flying</t>
  </si>
  <si>
    <t>Perform complex arial actions</t>
  </si>
  <si>
    <t>Artisan</t>
  </si>
  <si>
    <t>SPECIAL ABILITIES / CONSIDERATIONS:</t>
  </si>
  <si>
    <t>TOTAL WEIGHT</t>
  </si>
  <si>
    <r>
      <t>LANGUAGES:</t>
    </r>
    <r>
      <rPr>
        <sz val="12"/>
        <rFont val="Arial"/>
        <family val="2"/>
      </rPr>
      <t xml:space="preserve"> </t>
    </r>
  </si>
  <si>
    <t>AGILITY MODIFIER</t>
  </si>
  <si>
    <t>MONEY</t>
  </si>
  <si>
    <t>AMOUNT</t>
  </si>
  <si>
    <t>GEMS</t>
  </si>
  <si>
    <t xml:space="preserve"> NOTES:</t>
  </si>
  <si>
    <t>COPPER FARTHINGS(x0.25)</t>
  </si>
  <si>
    <t>SILVER PENNIES(x1)</t>
  </si>
  <si>
    <t>GOLD SHILLINGS(x12)</t>
  </si>
  <si>
    <t>EXPERIENCE POINTS(to be expended)</t>
  </si>
  <si>
    <t>EXM</t>
  </si>
  <si>
    <t>TRUESILVER GUINEAS(x252)</t>
  </si>
  <si>
    <t>Total (less magic)</t>
  </si>
  <si>
    <t>Formulas are driven from the modified stats, so fill in the modified stat even if it is the same.</t>
  </si>
  <si>
    <t>Some cells are protected to make sure numbers are in the proper places for calculation</t>
  </si>
  <si>
    <t>Magic Total</t>
  </si>
  <si>
    <t>Only cells A1 to R53 are printed when you choose to make a hard copy of the sheet.</t>
  </si>
  <si>
    <t>Make sure you keep track of the Agility Modifier on Q47(It was too complex a formula to do it automatically)</t>
  </si>
  <si>
    <t>When calculating weight, only put the numbers for what is carried while in combat.</t>
  </si>
  <si>
    <t>Use a small zoom view factor in you Excel menu to see this sheet better</t>
  </si>
  <si>
    <t>Click on the Magic Record tab down below to switch to the magic record sheet</t>
  </si>
  <si>
    <t>Created by Eric Labelle, revision 3.5a, go to www.iosphere.net/~eric/dq for updates and other stuff</t>
  </si>
  <si>
    <t>Date:</t>
  </si>
  <si>
    <t xml:space="preserve">          CHARACTER RECORD - MAGIC ITEMS</t>
  </si>
  <si>
    <t>CHARGED ITEMS</t>
  </si>
  <si>
    <t>Item</t>
  </si>
  <si>
    <t>Charges</t>
  </si>
  <si>
    <t>No.</t>
  </si>
  <si>
    <t>SHAPED ITEMS</t>
  </si>
  <si>
    <t>NAME</t>
  </si>
  <si>
    <t>NOTES</t>
  </si>
  <si>
    <r>
      <t xml:space="preserve">NOTES: </t>
    </r>
    <r>
      <rPr>
        <sz val="10"/>
        <rFont val="Arial"/>
        <family val="2"/>
      </rPr>
      <t xml:space="preserve">                                                     </t>
    </r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</si>
  <si>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</si>
  <si>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</si>
  <si>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</si>
  <si>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</si>
  <si>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</si>
  <si>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</si>
  <si>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</si>
  <si>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</si>
  <si>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</si>
  <si>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</si>
  <si>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</si>
  <si>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</si>
  <si>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</si>
  <si>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S-14</t>
  </si>
  <si>
    <t>S-15</t>
  </si>
  <si>
    <t>Healing</t>
  </si>
  <si>
    <t>Touch</t>
  </si>
  <si>
    <t>Light/Dark Sword</t>
  </si>
  <si>
    <t>Bolt of Starfire</t>
  </si>
  <si>
    <t>Meteorite Shower</t>
  </si>
  <si>
    <t>Delay</t>
  </si>
  <si>
    <t>Star Wings</t>
  </si>
  <si>
    <t>Web of Light</t>
  </si>
  <si>
    <t>Fear</t>
  </si>
  <si>
    <t>AP</t>
  </si>
  <si>
    <t>Increased Gravity</t>
  </si>
  <si>
    <t>See Spell Description</t>
  </si>
  <si>
    <t>Whitefire</t>
  </si>
  <si>
    <t>Kills target</t>
  </si>
  <si>
    <t>Solar Flare</t>
  </si>
  <si>
    <t>Falling Star</t>
  </si>
  <si>
    <t>Blackfire</t>
  </si>
  <si>
    <t>Shadow Walking</t>
  </si>
  <si>
    <t>Falling Death</t>
  </si>
  <si>
    <t>Shadow Clone</t>
  </si>
  <si>
    <t>Creates a double of the caster</t>
  </si>
  <si>
    <t>self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</si>
</sst>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24"/>
      <name val="Times New Roman"/>
      <family val="1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0"/>
      <name val="Arial"/>
      <family val="2"/>
    </font>
    <font>
      <b/>
      <sz val="28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5" fillId="2" borderId="12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8" xfId="0" applyFont="1" applyFill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quotePrefix="1">
      <alignment horizontal="center"/>
    </xf>
    <xf numFmtId="0" fontId="0" fillId="3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0" fillId="3" borderId="1" xfId="0" applyFont="1" applyFill="1" applyBorder="1" applyAlignment="1" applyProtection="1" quotePrefix="1">
      <alignment horizontal="center"/>
      <protection locked="0"/>
    </xf>
    <xf numFmtId="0" fontId="10" fillId="3" borderId="23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 quotePrefix="1">
      <alignment/>
    </xf>
    <xf numFmtId="0" fontId="0" fillId="3" borderId="0" xfId="0" applyFont="1" applyFill="1" applyAlignment="1">
      <alignment/>
    </xf>
    <xf numFmtId="0" fontId="10" fillId="3" borderId="1" xfId="0" applyFont="1" applyFill="1" applyBorder="1" applyAlignment="1" applyProtection="1">
      <alignment/>
      <protection locked="0"/>
    </xf>
    <xf numFmtId="164" fontId="5" fillId="3" borderId="1" xfId="0" applyNumberFormat="1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5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12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5" fillId="3" borderId="3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/>
    </xf>
    <xf numFmtId="17" fontId="4" fillId="3" borderId="5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4" fillId="3" borderId="33" xfId="0" applyFont="1" applyFill="1" applyBorder="1" applyAlignment="1">
      <alignment horizontal="left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>
      <alignment horizontal="left"/>
    </xf>
    <xf numFmtId="0" fontId="4" fillId="3" borderId="34" xfId="0" applyFont="1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5" fillId="3" borderId="24" xfId="0" applyFont="1" applyFill="1" applyBorder="1" applyAlignment="1" applyProtection="1">
      <alignment horizontal="center"/>
      <protection locked="0"/>
    </xf>
    <xf numFmtId="0" fontId="0" fillId="3" borderId="32" xfId="0" applyFont="1" applyFill="1" applyBorder="1" applyAlignment="1">
      <alignment horizontal="center"/>
    </xf>
    <xf numFmtId="0" fontId="5" fillId="3" borderId="24" xfId="0" applyFont="1" applyFill="1" applyBorder="1" applyAlignment="1" applyProtection="1" quotePrefix="1">
      <alignment horizontal="center"/>
      <protection locked="0"/>
    </xf>
    <xf numFmtId="0" fontId="4" fillId="3" borderId="21" xfId="0" applyFont="1" applyFill="1" applyBorder="1" applyAlignment="1">
      <alignment/>
    </xf>
    <xf numFmtId="0" fontId="4" fillId="3" borderId="20" xfId="0" applyFont="1" applyFill="1" applyBorder="1" applyAlignment="1" applyProtection="1">
      <alignment/>
      <protection locked="0"/>
    </xf>
    <xf numFmtId="0" fontId="4" fillId="3" borderId="35" xfId="0" applyFont="1" applyFill="1" applyBorder="1" applyAlignment="1">
      <alignment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left"/>
    </xf>
    <xf numFmtId="0" fontId="5" fillId="3" borderId="4" xfId="0" applyFont="1" applyFill="1" applyBorder="1" applyAlignment="1" applyProtection="1" quotePrefix="1">
      <alignment horizontal="center"/>
      <protection locked="0"/>
    </xf>
    <xf numFmtId="0" fontId="5" fillId="3" borderId="0" xfId="0" applyFont="1" applyFill="1" applyBorder="1" applyAlignment="1" quotePrefix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6" fillId="3" borderId="40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4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0" fillId="3" borderId="42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left"/>
      <protection locked="0"/>
    </xf>
    <xf numFmtId="0" fontId="10" fillId="3" borderId="43" xfId="0" applyFont="1" applyFill="1" applyBorder="1" applyAlignment="1" applyProtection="1">
      <alignment horizontal="left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10" fillId="3" borderId="34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/>
    </xf>
    <xf numFmtId="0" fontId="10" fillId="3" borderId="23" xfId="0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>
      <alignment/>
    </xf>
    <xf numFmtId="0" fontId="5" fillId="3" borderId="43" xfId="0" applyFont="1" applyFill="1" applyBorder="1" applyAlignment="1" applyProtection="1">
      <alignment/>
      <protection/>
    </xf>
    <xf numFmtId="0" fontId="5" fillId="3" borderId="24" xfId="0" applyFont="1" applyFill="1" applyBorder="1" applyAlignment="1" applyProtection="1">
      <alignment/>
      <protection/>
    </xf>
    <xf numFmtId="0" fontId="0" fillId="3" borderId="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3" borderId="46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0" fontId="6" fillId="3" borderId="31" xfId="0" applyFont="1" applyFill="1" applyBorder="1" applyAlignment="1">
      <alignment/>
    </xf>
    <xf numFmtId="0" fontId="5" fillId="3" borderId="48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Continuous"/>
    </xf>
    <xf numFmtId="0" fontId="6" fillId="3" borderId="33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10" fillId="3" borderId="49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quotePrefix="1">
      <alignment horizontal="center"/>
    </xf>
    <xf numFmtId="0" fontId="10" fillId="3" borderId="31" xfId="0" applyFont="1" applyFill="1" applyBorder="1" applyAlignment="1" applyProtection="1">
      <alignment horizontal="center"/>
      <protection locked="0"/>
    </xf>
    <xf numFmtId="1" fontId="5" fillId="3" borderId="0" xfId="0" applyNumberFormat="1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50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10" fillId="3" borderId="34" xfId="0" applyFont="1" applyFill="1" applyBorder="1" applyAlignment="1">
      <alignment/>
    </xf>
    <xf numFmtId="0" fontId="10" fillId="3" borderId="24" xfId="0" applyFont="1" applyFill="1" applyBorder="1" applyAlignment="1">
      <alignment/>
    </xf>
    <xf numFmtId="0" fontId="10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1" fillId="3" borderId="15" xfId="0" applyFont="1" applyFill="1" applyBorder="1" applyAlignment="1">
      <alignment horizontal="centerContinuous"/>
    </xf>
    <xf numFmtId="0" fontId="0" fillId="3" borderId="17" xfId="0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/>
      <protection/>
    </xf>
    <xf numFmtId="0" fontId="1" fillId="0" borderId="9" xfId="0" applyFont="1" applyBorder="1" applyAlignment="1">
      <alignment horizontal="left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shrinkToFit="1"/>
      <protection locked="0"/>
    </xf>
    <xf numFmtId="0" fontId="10" fillId="0" borderId="10" xfId="0" applyFont="1" applyBorder="1" applyAlignment="1" applyProtection="1">
      <alignment horizontal="center" shrinkToFit="1"/>
      <protection locked="0"/>
    </xf>
    <xf numFmtId="0" fontId="10" fillId="3" borderId="1" xfId="0" applyFont="1" applyFill="1" applyBorder="1" applyAlignment="1">
      <alignment horizontal="center"/>
    </xf>
    <xf numFmtId="0" fontId="10" fillId="0" borderId="51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shrinkToFit="1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 shrinkToFit="1"/>
      <protection locked="0"/>
    </xf>
    <xf numFmtId="0" fontId="10" fillId="3" borderId="44" xfId="0" applyFont="1" applyFill="1" applyBorder="1" applyAlignment="1" quotePrefix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5" fillId="0" borderId="52" xfId="0" applyFont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/>
      <protection/>
    </xf>
    <xf numFmtId="164" fontId="5" fillId="3" borderId="12" xfId="0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45" xfId="0" applyFont="1" applyFill="1" applyBorder="1" applyAlignment="1">
      <alignment/>
    </xf>
    <xf numFmtId="0" fontId="10" fillId="3" borderId="7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left"/>
    </xf>
    <xf numFmtId="0" fontId="1" fillId="3" borderId="21" xfId="0" applyFont="1" applyFill="1" applyBorder="1" applyAlignment="1">
      <alignment/>
    </xf>
    <xf numFmtId="0" fontId="10" fillId="3" borderId="46" xfId="0" applyFont="1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10" fillId="3" borderId="32" xfId="0" applyFont="1" applyFill="1" applyBorder="1" applyAlignment="1" applyProtection="1">
      <alignment horizontal="left"/>
      <protection locked="0"/>
    </xf>
    <xf numFmtId="0" fontId="10" fillId="3" borderId="43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left"/>
      <protection locked="0"/>
    </xf>
    <xf numFmtId="0" fontId="10" fillId="3" borderId="34" xfId="0" applyFont="1" applyFill="1" applyBorder="1" applyAlignment="1" applyProtection="1">
      <alignment horizontal="left"/>
      <protection locked="0"/>
    </xf>
    <xf numFmtId="2" fontId="10" fillId="3" borderId="32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/>
    </xf>
    <xf numFmtId="0" fontId="10" fillId="3" borderId="34" xfId="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4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2" fontId="10" fillId="3" borderId="32" xfId="0" applyNumberFormat="1" applyFont="1" applyFill="1" applyBorder="1" applyAlignment="1" applyProtection="1">
      <alignment horizontal="center"/>
      <protection locked="0"/>
    </xf>
    <xf numFmtId="0" fontId="0" fillId="3" borderId="23" xfId="0" applyFill="1" applyBorder="1" applyAlignment="1">
      <alignment horizontal="center"/>
    </xf>
    <xf numFmtId="2" fontId="10" fillId="3" borderId="23" xfId="0" applyNumberFormat="1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4" xfId="0" applyNumberFormat="1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left"/>
      <protection locked="0"/>
    </xf>
    <xf numFmtId="0" fontId="0" fillId="3" borderId="27" xfId="0" applyFont="1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0" fillId="3" borderId="27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0" fontId="6" fillId="3" borderId="52" xfId="0" applyFont="1" applyFill="1" applyBorder="1" applyAlignment="1">
      <alignment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10" fillId="3" borderId="36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0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6" fillId="3" borderId="55" xfId="0" applyFont="1" applyFill="1" applyBorder="1" applyAlignment="1" applyProtection="1">
      <alignment horizontal="center"/>
      <protection locked="0"/>
    </xf>
    <xf numFmtId="0" fontId="0" fillId="3" borderId="55" xfId="0" applyFill="1" applyBorder="1" applyAlignment="1">
      <alignment/>
    </xf>
    <xf numFmtId="0" fontId="5" fillId="3" borderId="55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5" fillId="3" borderId="55" xfId="0" applyFont="1" applyFill="1" applyBorder="1" applyAlignment="1" applyProtection="1">
      <alignment/>
      <protection/>
    </xf>
    <xf numFmtId="0" fontId="5" fillId="3" borderId="55" xfId="0" applyFont="1" applyFill="1" applyBorder="1" applyAlignment="1">
      <alignment/>
    </xf>
    <xf numFmtId="0" fontId="13" fillId="3" borderId="43" xfId="0" applyFont="1" applyFill="1" applyBorder="1" applyAlignment="1" applyProtection="1">
      <alignment horizontal="left"/>
      <protection locked="0"/>
    </xf>
    <xf numFmtId="0" fontId="13" fillId="3" borderId="24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/>
      <protection locked="0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8" xfId="0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0" fillId="3" borderId="35" xfId="0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left"/>
      <protection locked="0"/>
    </xf>
    <xf numFmtId="0" fontId="10" fillId="3" borderId="17" xfId="0" applyFont="1" applyFill="1" applyBorder="1" applyAlignment="1" applyProtection="1">
      <alignment horizontal="left"/>
      <protection locked="0"/>
    </xf>
    <xf numFmtId="0" fontId="0" fillId="3" borderId="45" xfId="0" applyFill="1" applyBorder="1" applyAlignment="1">
      <alignment horizontal="center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37" xfId="0" applyFont="1" applyFill="1" applyBorder="1" applyAlignment="1" applyProtection="1">
      <alignment horizontal="left"/>
      <protection locked="0"/>
    </xf>
    <xf numFmtId="0" fontId="10" fillId="0" borderId="32" xfId="0" applyFont="1" applyBorder="1" applyAlignment="1" applyProtection="1">
      <alignment horizontal="left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45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0" fillId="3" borderId="15" xfId="0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53" xfId="0" applyFont="1" applyBorder="1" applyAlignment="1" applyProtection="1">
      <alignment shrinkToFit="1"/>
      <protection locked="0"/>
    </xf>
    <xf numFmtId="0" fontId="3" fillId="0" borderId="48" xfId="0" applyFont="1" applyBorder="1" applyAlignment="1">
      <alignment shrinkToFit="1"/>
    </xf>
    <xf numFmtId="0" fontId="16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>
      <alignment shrinkToFit="1"/>
    </xf>
    <xf numFmtId="0" fontId="3" fillId="0" borderId="47" xfId="0" applyFont="1" applyBorder="1" applyAlignment="1">
      <alignment shrinkToFit="1"/>
    </xf>
    <xf numFmtId="0" fontId="10" fillId="0" borderId="0" xfId="0" applyFont="1" applyBorder="1" applyAlignment="1" applyProtection="1">
      <alignment shrinkToFit="1"/>
      <protection locked="0"/>
    </xf>
    <xf numFmtId="0" fontId="0" fillId="0" borderId="30" xfId="0" applyBorder="1" applyAlignment="1">
      <alignment shrinkToFit="1"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47" xfId="0" applyBorder="1" applyAlignment="1">
      <alignment shrinkToFit="1"/>
    </xf>
    <xf numFmtId="0" fontId="15" fillId="0" borderId="46" xfId="0" applyFont="1" applyBorder="1" applyAlignment="1" applyProtection="1">
      <alignment horizontal="left" shrinkToFit="1"/>
      <protection locked="0"/>
    </xf>
    <xf numFmtId="0" fontId="10" fillId="0" borderId="33" xfId="0" applyFont="1" applyBorder="1" applyAlignment="1" applyProtection="1">
      <alignment horizontal="center" shrinkToFit="1"/>
      <protection locked="0"/>
    </xf>
    <xf numFmtId="0" fontId="0" fillId="0" borderId="6" xfId="0" applyBorder="1" applyAlignment="1">
      <alignment shrinkToFit="1"/>
    </xf>
    <xf numFmtId="0" fontId="0" fillId="0" borderId="11" xfId="0" applyBorder="1" applyAlignment="1">
      <alignment shrinkToFit="1"/>
    </xf>
    <xf numFmtId="0" fontId="17" fillId="0" borderId="53" xfId="0" applyFont="1" applyBorder="1" applyAlignment="1" applyProtection="1">
      <alignment shrinkToFit="1"/>
      <protection locked="0"/>
    </xf>
    <xf numFmtId="0" fontId="18" fillId="0" borderId="48" xfId="0" applyFont="1" applyBorder="1" applyAlignment="1">
      <alignment shrinkToFit="1"/>
    </xf>
    <xf numFmtId="0" fontId="16" fillId="0" borderId="53" xfId="0" applyFont="1" applyBorder="1" applyAlignment="1" applyProtection="1">
      <alignment horizontal="left" shrinkToFit="1"/>
      <protection locked="0"/>
    </xf>
    <xf numFmtId="0" fontId="3" fillId="0" borderId="53" xfId="0" applyFont="1" applyBorder="1" applyAlignment="1">
      <alignment horizontal="left" shrinkToFit="1"/>
    </xf>
    <xf numFmtId="0" fontId="3" fillId="0" borderId="54" xfId="0" applyFont="1" applyBorder="1" applyAlignment="1">
      <alignment horizontal="left" shrinkToFit="1"/>
    </xf>
    <xf numFmtId="0" fontId="10" fillId="0" borderId="7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10" fillId="0" borderId="30" xfId="0" applyFont="1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30" xfId="0" applyBorder="1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0" fontId="0" fillId="0" borderId="10" xfId="0" applyBorder="1" applyAlignment="1">
      <alignment horizontal="left" vertical="top" wrapText="1" shrinkToFit="1"/>
    </xf>
    <xf numFmtId="0" fontId="10" fillId="0" borderId="46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>
      <alignment shrinkToFit="1"/>
    </xf>
    <xf numFmtId="0" fontId="0" fillId="0" borderId="47" xfId="0" applyFont="1" applyBorder="1" applyAlignment="1">
      <alignment shrinkToFit="1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0" fillId="0" borderId="36" xfId="0" applyFont="1" applyBorder="1" applyAlignment="1" applyProtection="1">
      <alignment horizontal="left" shrinkToFit="1"/>
      <protection locked="0"/>
    </xf>
    <xf numFmtId="0" fontId="0" fillId="0" borderId="3" xfId="0" applyBorder="1" applyAlignment="1">
      <alignment horizontal="left" shrinkToFit="1"/>
    </xf>
    <xf numFmtId="0" fontId="0" fillId="0" borderId="4" xfId="0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dd%20Douglas\Desktop\DQ\Character%20Sheets\Non-ade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Dragon%20Quest\Player%20Character's\Cody\Rexx\Re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Record"/>
      <sheetName val="Magic Items"/>
    </sheetNames>
    <sheetDataSet>
      <sheetData sheetId="1">
        <row r="51">
          <cell r="L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Record"/>
      <sheetName val="Magic Record"/>
      <sheetName val="Magic Items"/>
      <sheetName val="Magic Items (2)"/>
    </sheetNames>
    <sheetDataSet>
      <sheetData sheetId="0">
        <row r="53">
          <cell r="Q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showGridLines="0" defaultGridColor="0" zoomScale="75" zoomScaleNormal="75" colorId="8" workbookViewId="0" topLeftCell="A1">
      <selection activeCell="F13" sqref="F13"/>
    </sheetView>
  </sheetViews>
  <sheetFormatPr defaultColWidth="8.88671875" defaultRowHeight="15"/>
  <cols>
    <col min="1" max="1" width="11.77734375" style="74" customWidth="1"/>
    <col min="2" max="2" width="10.77734375" style="74" customWidth="1"/>
    <col min="3" max="3" width="3.21484375" style="74" customWidth="1"/>
    <col min="4" max="4" width="5.77734375" style="74" customWidth="1"/>
    <col min="5" max="5" width="5.88671875" style="74" customWidth="1"/>
    <col min="6" max="6" width="11.21484375" style="74" customWidth="1"/>
    <col min="7" max="18" width="4.77734375" style="74" customWidth="1"/>
    <col min="19" max="19" width="1.77734375" style="74" customWidth="1"/>
    <col min="20" max="20" width="20.6640625" style="74" customWidth="1"/>
    <col min="21" max="21" width="9.21484375" style="74" customWidth="1"/>
    <col min="22" max="16384" width="8.88671875" style="74" customWidth="1"/>
  </cols>
  <sheetData>
    <row r="1" spans="1:19" ht="34.5">
      <c r="A1" s="65" t="s">
        <v>0</v>
      </c>
      <c r="B1" s="66"/>
      <c r="C1" s="66"/>
      <c r="D1" s="66"/>
      <c r="E1" s="66"/>
      <c r="F1" s="67"/>
      <c r="G1" s="68" t="s">
        <v>75</v>
      </c>
      <c r="H1" s="69"/>
      <c r="I1" s="70"/>
      <c r="J1" s="69"/>
      <c r="K1" s="71"/>
      <c r="L1" s="71"/>
      <c r="M1" s="71"/>
      <c r="N1" s="71"/>
      <c r="O1" s="71"/>
      <c r="P1" s="71"/>
      <c r="Q1" s="71"/>
      <c r="R1" s="72"/>
      <c r="S1" s="73"/>
    </row>
    <row r="2" spans="1:21" s="63" customFormat="1" ht="18">
      <c r="A2" s="75" t="s">
        <v>76</v>
      </c>
      <c r="B2" s="76"/>
      <c r="C2" s="76"/>
      <c r="D2" s="76"/>
      <c r="E2" s="76"/>
      <c r="F2" s="77"/>
      <c r="G2" s="78" t="s">
        <v>77</v>
      </c>
      <c r="H2" s="51"/>
      <c r="I2" s="78" t="s">
        <v>78</v>
      </c>
      <c r="J2" s="51">
        <f>+J3+R10+R11+R12</f>
        <v>0</v>
      </c>
      <c r="K2" s="78" t="s">
        <v>79</v>
      </c>
      <c r="L2" s="51">
        <f>+L3+R7+R8+Q48</f>
        <v>0</v>
      </c>
      <c r="M2" s="78" t="s">
        <v>80</v>
      </c>
      <c r="N2" s="51"/>
      <c r="O2" s="78" t="s">
        <v>81</v>
      </c>
      <c r="P2" s="51"/>
      <c r="Q2" s="78" t="s">
        <v>82</v>
      </c>
      <c r="R2" s="52"/>
      <c r="S2" s="79"/>
      <c r="T2" s="80" t="s">
        <v>83</v>
      </c>
      <c r="U2" s="62"/>
    </row>
    <row r="3" spans="1:21" s="63" customFormat="1" ht="18">
      <c r="A3" s="81" t="s">
        <v>160</v>
      </c>
      <c r="B3" s="82"/>
      <c r="C3" s="82"/>
      <c r="D3" s="82"/>
      <c r="E3" s="82"/>
      <c r="F3" s="83"/>
      <c r="G3" s="84"/>
      <c r="H3" s="85"/>
      <c r="I3" s="84"/>
      <c r="J3" s="85"/>
      <c r="K3" s="86"/>
      <c r="L3" s="85"/>
      <c r="M3" s="84"/>
      <c r="N3" s="85"/>
      <c r="O3" s="84"/>
      <c r="P3" s="85"/>
      <c r="Q3" s="84"/>
      <c r="R3" s="87"/>
      <c r="S3" s="79"/>
      <c r="T3" s="88">
        <f>+H3+J3+L3+N3+P3+R3</f>
        <v>0</v>
      </c>
      <c r="U3" s="62"/>
    </row>
    <row r="4" spans="1:19" s="63" customFormat="1" ht="18">
      <c r="A4" s="89" t="s">
        <v>84</v>
      </c>
      <c r="B4" s="254"/>
      <c r="C4" s="254"/>
      <c r="D4" s="254"/>
      <c r="E4" s="254"/>
      <c r="F4" s="254"/>
      <c r="G4" s="254"/>
      <c r="H4" s="255"/>
      <c r="I4" s="90" t="s">
        <v>85</v>
      </c>
      <c r="J4" s="91"/>
      <c r="K4" s="92" t="s">
        <v>86</v>
      </c>
      <c r="L4" s="93"/>
      <c r="M4" s="90" t="s">
        <v>87</v>
      </c>
      <c r="N4" s="91"/>
      <c r="O4" s="78" t="s">
        <v>88</v>
      </c>
      <c r="P4" s="51">
        <f>+P5+(P10*Q10)+(P11*Q11)</f>
        <v>0</v>
      </c>
      <c r="Q4" s="78" t="s">
        <v>89</v>
      </c>
      <c r="R4" s="52"/>
      <c r="S4" s="79"/>
    </row>
    <row r="5" spans="1:19" s="63" customFormat="1" ht="18.75" thickBot="1">
      <c r="A5" s="94" t="s">
        <v>90</v>
      </c>
      <c r="B5" s="95"/>
      <c r="C5" s="96" t="s">
        <v>91</v>
      </c>
      <c r="D5" s="97"/>
      <c r="E5" s="96" t="s">
        <v>92</v>
      </c>
      <c r="F5" s="95"/>
      <c r="G5" s="96" t="s">
        <v>93</v>
      </c>
      <c r="H5" s="256"/>
      <c r="I5" s="257"/>
      <c r="J5" s="258"/>
      <c r="K5" s="98" t="s">
        <v>94</v>
      </c>
      <c r="L5" s="97"/>
      <c r="M5" s="98" t="s">
        <v>95</v>
      </c>
      <c r="N5" s="97"/>
      <c r="O5" s="99"/>
      <c r="P5" s="100">
        <f>L2</f>
        <v>0</v>
      </c>
      <c r="Q5" s="101"/>
      <c r="R5" s="102">
        <v>30</v>
      </c>
      <c r="S5" s="103"/>
    </row>
    <row r="6" spans="1:19" s="63" customFormat="1" ht="18">
      <c r="A6" s="104" t="s">
        <v>96</v>
      </c>
      <c r="B6" s="259" t="s">
        <v>97</v>
      </c>
      <c r="C6" s="260"/>
      <c r="D6" s="260"/>
      <c r="E6" s="261"/>
      <c r="F6" s="105" t="s">
        <v>98</v>
      </c>
      <c r="G6" s="105" t="s">
        <v>99</v>
      </c>
      <c r="H6" s="105" t="s">
        <v>100</v>
      </c>
      <c r="I6" s="105" t="s">
        <v>101</v>
      </c>
      <c r="J6" s="105" t="s">
        <v>102</v>
      </c>
      <c r="K6" s="105" t="s">
        <v>103</v>
      </c>
      <c r="L6" s="106" t="s">
        <v>104</v>
      </c>
      <c r="M6" s="107" t="s">
        <v>105</v>
      </c>
      <c r="N6" s="71"/>
      <c r="O6" s="105" t="s">
        <v>106</v>
      </c>
      <c r="P6" s="105" t="s">
        <v>107</v>
      </c>
      <c r="Q6" s="108" t="s">
        <v>108</v>
      </c>
      <c r="R6" s="109" t="s">
        <v>79</v>
      </c>
      <c r="S6" s="110"/>
    </row>
    <row r="7" spans="1:21" s="63" customFormat="1" ht="18">
      <c r="A7" s="111"/>
      <c r="B7" s="210"/>
      <c r="C7" s="211"/>
      <c r="D7" s="211"/>
      <c r="E7" s="218"/>
      <c r="F7" s="55"/>
      <c r="G7" s="38">
        <f aca="true" t="shared" si="0" ref="G7:G15">+IF(+A7&lt;&gt;"",+$L$2+$J$4+A7,"")</f>
      </c>
      <c r="H7" s="38">
        <f>+IF(A7&lt;&gt;"",+F7+$J$2+(A7*4),"")</f>
      </c>
      <c r="I7" s="53"/>
      <c r="J7" s="55"/>
      <c r="K7" s="55"/>
      <c r="L7" s="114"/>
      <c r="M7" s="213"/>
      <c r="N7" s="212"/>
      <c r="O7" s="55"/>
      <c r="P7" s="117"/>
      <c r="Q7" s="55"/>
      <c r="R7" s="54"/>
      <c r="S7" s="79"/>
      <c r="T7" s="118"/>
      <c r="U7" s="118"/>
    </row>
    <row r="8" spans="1:20" s="63" customFormat="1" ht="18">
      <c r="A8" s="111"/>
      <c r="B8" s="210"/>
      <c r="C8" s="211"/>
      <c r="D8" s="211"/>
      <c r="E8" s="218"/>
      <c r="F8" s="55"/>
      <c r="G8" s="38">
        <f t="shared" si="0"/>
      </c>
      <c r="H8" s="38">
        <f>+IF(+A8&lt;&gt;"",+F8+$J$2+(A8*4),"")</f>
      </c>
      <c r="I8" s="53"/>
      <c r="J8" s="55"/>
      <c r="K8" s="55"/>
      <c r="L8" s="114"/>
      <c r="M8" s="213"/>
      <c r="N8" s="212"/>
      <c r="O8" s="55"/>
      <c r="P8" s="55"/>
      <c r="Q8" s="55"/>
      <c r="R8" s="119"/>
      <c r="S8" s="79"/>
      <c r="T8" s="63" t="s">
        <v>109</v>
      </c>
    </row>
    <row r="9" spans="1:19" s="63" customFormat="1" ht="18">
      <c r="A9" s="111"/>
      <c r="B9" s="210"/>
      <c r="C9" s="211"/>
      <c r="D9" s="211"/>
      <c r="E9" s="218"/>
      <c r="F9" s="55"/>
      <c r="G9" s="38">
        <f t="shared" si="0"/>
      </c>
      <c r="H9" s="38">
        <f>+IF(+A9&lt;&gt;"",+F9+$J$2+(A9*4),"")</f>
      </c>
      <c r="I9" s="55"/>
      <c r="J9" s="55"/>
      <c r="K9" s="55"/>
      <c r="L9" s="114"/>
      <c r="M9" s="120" t="s">
        <v>110</v>
      </c>
      <c r="N9" s="121"/>
      <c r="O9" s="122"/>
      <c r="P9" s="123" t="s">
        <v>111</v>
      </c>
      <c r="Q9" s="123" t="s">
        <v>112</v>
      </c>
      <c r="R9" s="124" t="s">
        <v>78</v>
      </c>
      <c r="S9" s="110"/>
    </row>
    <row r="10" spans="1:19" s="63" customFormat="1" ht="18">
      <c r="A10" s="111"/>
      <c r="B10" s="210"/>
      <c r="C10" s="211"/>
      <c r="D10" s="211"/>
      <c r="E10" s="218"/>
      <c r="F10" s="55"/>
      <c r="G10" s="38">
        <f t="shared" si="0"/>
      </c>
      <c r="H10" s="38">
        <f>+IF(+A10&lt;&gt;"",+F10+$J$2+(A10*4),"")</f>
      </c>
      <c r="I10" s="53"/>
      <c r="J10" s="55"/>
      <c r="K10" s="55"/>
      <c r="L10" s="114"/>
      <c r="M10" s="213"/>
      <c r="N10" s="211"/>
      <c r="O10" s="212"/>
      <c r="P10" s="55"/>
      <c r="Q10" s="55"/>
      <c r="R10" s="54"/>
      <c r="S10" s="79"/>
    </row>
    <row r="11" spans="1:20" s="63" customFormat="1" ht="18">
      <c r="A11" s="111"/>
      <c r="B11" s="210"/>
      <c r="C11" s="211"/>
      <c r="D11" s="211"/>
      <c r="E11" s="218"/>
      <c r="F11" s="55"/>
      <c r="G11" s="38">
        <f t="shared" si="0"/>
      </c>
      <c r="H11" s="38">
        <f>+IF(A11&lt;&gt;"",+F11+$J$2+(A11*4),"")</f>
      </c>
      <c r="I11" s="53"/>
      <c r="J11" s="55"/>
      <c r="K11" s="55"/>
      <c r="L11" s="114"/>
      <c r="M11" s="213"/>
      <c r="N11" s="211"/>
      <c r="O11" s="212"/>
      <c r="P11" s="55"/>
      <c r="Q11" s="55"/>
      <c r="R11" s="119"/>
      <c r="S11" s="79"/>
      <c r="T11" s="63" t="s">
        <v>113</v>
      </c>
    </row>
    <row r="12" spans="1:20" s="63" customFormat="1" ht="18.75" thickBot="1">
      <c r="A12" s="111"/>
      <c r="B12" s="210"/>
      <c r="C12" s="211"/>
      <c r="D12" s="211"/>
      <c r="E12" s="218"/>
      <c r="F12" s="55"/>
      <c r="G12" s="38">
        <f t="shared" si="0"/>
      </c>
      <c r="H12" s="38">
        <f>+IF(+A12&lt;&gt;"",+F12+$J$2+(A12*4),"")</f>
      </c>
      <c r="I12" s="55"/>
      <c r="J12" s="55"/>
      <c r="K12" s="55"/>
      <c r="L12" s="114"/>
      <c r="M12" s="244"/>
      <c r="N12" s="269"/>
      <c r="O12" s="270"/>
      <c r="P12" s="125"/>
      <c r="Q12" s="125"/>
      <c r="R12" s="126"/>
      <c r="S12" s="73"/>
      <c r="T12" s="63" t="s">
        <v>113</v>
      </c>
    </row>
    <row r="13" spans="1:21" s="63" customFormat="1" ht="18">
      <c r="A13" s="111"/>
      <c r="B13" s="210"/>
      <c r="C13" s="211"/>
      <c r="D13" s="211"/>
      <c r="E13" s="218"/>
      <c r="F13" s="55"/>
      <c r="G13" s="38">
        <f t="shared" si="0"/>
      </c>
      <c r="H13" s="38">
        <f>+IF(+A13&lt;&gt;"",+F13+$J$2+(A13*4),"")</f>
      </c>
      <c r="I13" s="55"/>
      <c r="J13" s="55"/>
      <c r="K13" s="55"/>
      <c r="L13" s="114"/>
      <c r="M13" s="127"/>
      <c r="N13" s="128"/>
      <c r="O13" s="128"/>
      <c r="P13" s="129"/>
      <c r="Q13" s="130"/>
      <c r="R13" s="131"/>
      <c r="S13" s="128"/>
      <c r="T13" s="132" t="s">
        <v>1</v>
      </c>
      <c r="U13" s="133"/>
    </row>
    <row r="14" spans="1:21" s="63" customFormat="1" ht="18">
      <c r="A14" s="111"/>
      <c r="B14" s="210"/>
      <c r="C14" s="211"/>
      <c r="D14" s="211"/>
      <c r="E14" s="218"/>
      <c r="F14" s="55"/>
      <c r="G14" s="38">
        <f t="shared" si="0"/>
      </c>
      <c r="H14" s="38">
        <f>+IF(+A14&lt;&gt;"",+F14+$J$2+(A14*4),"")</f>
      </c>
      <c r="I14" s="53"/>
      <c r="J14" s="55"/>
      <c r="K14" s="55"/>
      <c r="L14" s="114"/>
      <c r="M14" s="134" t="s">
        <v>114</v>
      </c>
      <c r="N14" s="135"/>
      <c r="O14" s="135"/>
      <c r="P14" s="136"/>
      <c r="Q14" s="262" t="s">
        <v>115</v>
      </c>
      <c r="R14" s="263"/>
      <c r="S14" s="138"/>
      <c r="T14" s="139" t="s">
        <v>2</v>
      </c>
      <c r="U14" s="140"/>
    </row>
    <row r="15" spans="1:21" s="146" customFormat="1" ht="18.75" thickBot="1">
      <c r="A15" s="141"/>
      <c r="B15" s="210"/>
      <c r="C15" s="211"/>
      <c r="D15" s="211"/>
      <c r="E15" s="218"/>
      <c r="F15" s="56"/>
      <c r="G15" s="142">
        <f t="shared" si="0"/>
      </c>
      <c r="H15" s="142">
        <f>+IF(+A15&lt;&gt;"",+F15+$J$2+(A15*4),"")</f>
      </c>
      <c r="I15" s="56"/>
      <c r="J15" s="56"/>
      <c r="K15" s="56"/>
      <c r="L15" s="143"/>
      <c r="M15" s="216"/>
      <c r="N15" s="217"/>
      <c r="O15" s="217"/>
      <c r="P15" s="218"/>
      <c r="Q15" s="214"/>
      <c r="R15" s="215"/>
      <c r="S15" s="144"/>
      <c r="T15" s="57"/>
      <c r="U15" s="145"/>
    </row>
    <row r="16" spans="1:21" s="146" customFormat="1" ht="18.75" thickBot="1">
      <c r="A16" s="147" t="s">
        <v>116</v>
      </c>
      <c r="B16" s="252"/>
      <c r="C16" s="253"/>
      <c r="D16" s="253"/>
      <c r="E16" s="253"/>
      <c r="F16" s="248" t="s">
        <v>117</v>
      </c>
      <c r="G16" s="249"/>
      <c r="H16" s="249"/>
      <c r="I16" s="249"/>
      <c r="J16" s="249"/>
      <c r="K16" s="250" t="str">
        <f>P2&amp;"%"</f>
        <v>%</v>
      </c>
      <c r="L16" s="251"/>
      <c r="M16" s="216"/>
      <c r="N16" s="217"/>
      <c r="O16" s="217"/>
      <c r="P16" s="218"/>
      <c r="Q16" s="214"/>
      <c r="R16" s="215"/>
      <c r="S16" s="144"/>
      <c r="T16" s="57"/>
      <c r="U16" s="145"/>
    </row>
    <row r="17" spans="1:21" s="146" customFormat="1" ht="18">
      <c r="A17" s="127"/>
      <c r="B17" s="129"/>
      <c r="C17" s="130"/>
      <c r="D17" s="128"/>
      <c r="E17" s="129"/>
      <c r="F17" s="130"/>
      <c r="G17" s="128"/>
      <c r="H17" s="128"/>
      <c r="I17" s="128"/>
      <c r="J17" s="129"/>
      <c r="K17" s="148"/>
      <c r="L17" s="130"/>
      <c r="M17" s="216"/>
      <c r="N17" s="217"/>
      <c r="O17" s="217"/>
      <c r="P17" s="218"/>
      <c r="Q17" s="214"/>
      <c r="R17" s="215"/>
      <c r="S17" s="144"/>
      <c r="T17" s="57"/>
      <c r="U17" s="145"/>
    </row>
    <row r="18" spans="1:21" s="146" customFormat="1" ht="18">
      <c r="A18" s="134" t="s">
        <v>118</v>
      </c>
      <c r="B18" s="136"/>
      <c r="C18" s="149" t="s">
        <v>119</v>
      </c>
      <c r="D18" s="135"/>
      <c r="E18" s="136"/>
      <c r="F18" s="149" t="s">
        <v>120</v>
      </c>
      <c r="G18" s="135"/>
      <c r="H18" s="135"/>
      <c r="I18" s="135"/>
      <c r="J18" s="136"/>
      <c r="K18" s="150" t="s">
        <v>111</v>
      </c>
      <c r="L18" s="137" t="s">
        <v>112</v>
      </c>
      <c r="M18" s="216"/>
      <c r="N18" s="217"/>
      <c r="O18" s="217"/>
      <c r="P18" s="218"/>
      <c r="Q18" s="214"/>
      <c r="R18" s="215"/>
      <c r="S18" s="144"/>
      <c r="T18" s="57"/>
      <c r="U18" s="145"/>
    </row>
    <row r="19" spans="1:21" s="146" customFormat="1" ht="18">
      <c r="A19" s="151" t="s">
        <v>121</v>
      </c>
      <c r="B19" s="152"/>
      <c r="C19" s="210" t="s">
        <v>122</v>
      </c>
      <c r="D19" s="211"/>
      <c r="E19" s="212"/>
      <c r="F19" s="210"/>
      <c r="G19" s="211"/>
      <c r="H19" s="211"/>
      <c r="I19" s="211"/>
      <c r="J19" s="212"/>
      <c r="K19" s="55">
        <v>0</v>
      </c>
      <c r="L19" s="153">
        <f>+(ROUNDUP((L2+P2)/2,0))+(K19*8)</f>
        <v>0</v>
      </c>
      <c r="M19" s="216"/>
      <c r="N19" s="217"/>
      <c r="O19" s="217"/>
      <c r="P19" s="218"/>
      <c r="Q19" s="214"/>
      <c r="R19" s="215"/>
      <c r="S19" s="144"/>
      <c r="T19" s="57"/>
      <c r="U19" s="145"/>
    </row>
    <row r="20" spans="1:21" s="146" customFormat="1" ht="18">
      <c r="A20" s="151" t="s">
        <v>123</v>
      </c>
      <c r="B20" s="152"/>
      <c r="C20" s="112" t="s">
        <v>124</v>
      </c>
      <c r="D20" s="113"/>
      <c r="E20" s="116"/>
      <c r="F20" s="112" t="s">
        <v>125</v>
      </c>
      <c r="G20" s="113"/>
      <c r="H20" s="113"/>
      <c r="I20" s="113"/>
      <c r="J20" s="116"/>
      <c r="K20" s="55">
        <v>0</v>
      </c>
      <c r="L20" s="153">
        <f>+(L3*3)+(K20*5)+O7+O8</f>
        <v>0</v>
      </c>
      <c r="M20" s="216"/>
      <c r="N20" s="217"/>
      <c r="O20" s="217"/>
      <c r="P20" s="218"/>
      <c r="Q20" s="214"/>
      <c r="R20" s="215"/>
      <c r="S20" s="144"/>
      <c r="T20" s="57"/>
      <c r="U20" s="145"/>
    </row>
    <row r="21" spans="1:21" s="146" customFormat="1" ht="18">
      <c r="A21" s="115" t="s">
        <v>126</v>
      </c>
      <c r="B21" s="116"/>
      <c r="C21" s="112" t="s">
        <v>127</v>
      </c>
      <c r="D21" s="113"/>
      <c r="E21" s="116"/>
      <c r="F21" s="112" t="s">
        <v>128</v>
      </c>
      <c r="G21" s="113"/>
      <c r="H21" s="113"/>
      <c r="I21" s="113"/>
      <c r="J21" s="116"/>
      <c r="K21" s="55">
        <v>0</v>
      </c>
      <c r="L21" s="153">
        <f>+(J2*4)+(K21*8)</f>
        <v>0</v>
      </c>
      <c r="M21" s="216"/>
      <c r="N21" s="217"/>
      <c r="O21" s="217"/>
      <c r="P21" s="218"/>
      <c r="Q21" s="214"/>
      <c r="R21" s="215"/>
      <c r="S21" s="144"/>
      <c r="T21" s="58"/>
      <c r="U21" s="145"/>
    </row>
    <row r="22" spans="1:21" s="146" customFormat="1" ht="18">
      <c r="A22" s="115" t="s">
        <v>129</v>
      </c>
      <c r="B22" s="116"/>
      <c r="C22" s="112" t="s">
        <v>130</v>
      </c>
      <c r="D22" s="113"/>
      <c r="E22" s="116"/>
      <c r="F22" s="112" t="s">
        <v>131</v>
      </c>
      <c r="G22" s="113"/>
      <c r="H22" s="113"/>
      <c r="I22" s="113"/>
      <c r="J22" s="116"/>
      <c r="K22" s="55">
        <v>0</v>
      </c>
      <c r="L22" s="153">
        <f>+(H2)+(K22*8)+L2+R2</f>
        <v>0</v>
      </c>
      <c r="M22" s="213"/>
      <c r="N22" s="211"/>
      <c r="O22" s="211"/>
      <c r="P22" s="212"/>
      <c r="Q22" s="214"/>
      <c r="R22" s="215"/>
      <c r="S22" s="144"/>
      <c r="T22" s="57"/>
      <c r="U22" s="145"/>
    </row>
    <row r="23" spans="1:21" s="146" customFormat="1" ht="18">
      <c r="A23" s="115" t="s">
        <v>132</v>
      </c>
      <c r="B23" s="116"/>
      <c r="C23" s="112" t="s">
        <v>133</v>
      </c>
      <c r="D23" s="113"/>
      <c r="E23" s="116"/>
      <c r="F23" s="112" t="s">
        <v>134</v>
      </c>
      <c r="G23" s="113"/>
      <c r="H23" s="113"/>
      <c r="I23" s="113"/>
      <c r="J23" s="116"/>
      <c r="K23" s="55">
        <v>0</v>
      </c>
      <c r="L23" s="153">
        <f>+(L2*3)+(K23*10)</f>
        <v>0</v>
      </c>
      <c r="M23" s="216"/>
      <c r="N23" s="217"/>
      <c r="O23" s="217"/>
      <c r="P23" s="218"/>
      <c r="Q23" s="214"/>
      <c r="R23" s="222"/>
      <c r="S23" s="144"/>
      <c r="T23" s="57"/>
      <c r="U23" s="145"/>
    </row>
    <row r="24" spans="1:21" s="146" customFormat="1" ht="18">
      <c r="A24" s="115" t="s">
        <v>135</v>
      </c>
      <c r="B24" s="116"/>
      <c r="C24" s="112"/>
      <c r="D24" s="113"/>
      <c r="E24" s="116"/>
      <c r="F24" s="112"/>
      <c r="G24" s="113"/>
      <c r="H24" s="113"/>
      <c r="I24" s="113"/>
      <c r="J24" s="116"/>
      <c r="K24" s="55">
        <v>0</v>
      </c>
      <c r="L24" s="114"/>
      <c r="M24" s="216"/>
      <c r="N24" s="217"/>
      <c r="O24" s="217"/>
      <c r="P24" s="218"/>
      <c r="Q24" s="214"/>
      <c r="R24" s="222"/>
      <c r="S24" s="144"/>
      <c r="T24" s="57"/>
      <c r="U24" s="145"/>
    </row>
    <row r="25" spans="1:21" s="146" customFormat="1" ht="18">
      <c r="A25" s="213"/>
      <c r="B25" s="219"/>
      <c r="C25" s="210"/>
      <c r="D25" s="220"/>
      <c r="E25" s="219"/>
      <c r="F25" s="210"/>
      <c r="G25" s="220"/>
      <c r="H25" s="220"/>
      <c r="I25" s="220"/>
      <c r="J25" s="219"/>
      <c r="K25" s="55"/>
      <c r="L25" s="114"/>
      <c r="M25" s="213"/>
      <c r="N25" s="220"/>
      <c r="O25" s="220"/>
      <c r="P25" s="219"/>
      <c r="Q25" s="221"/>
      <c r="R25" s="222"/>
      <c r="S25" s="144"/>
      <c r="T25" s="57"/>
      <c r="U25" s="145"/>
    </row>
    <row r="26" spans="1:21" s="146" customFormat="1" ht="18">
      <c r="A26" s="213"/>
      <c r="B26" s="212"/>
      <c r="C26" s="210"/>
      <c r="D26" s="211"/>
      <c r="E26" s="212"/>
      <c r="F26" s="210"/>
      <c r="G26" s="211"/>
      <c r="H26" s="211"/>
      <c r="I26" s="211"/>
      <c r="J26" s="212"/>
      <c r="K26" s="55"/>
      <c r="L26" s="114"/>
      <c r="M26" s="213"/>
      <c r="N26" s="211"/>
      <c r="O26" s="211"/>
      <c r="P26" s="212"/>
      <c r="Q26" s="221"/>
      <c r="R26" s="223"/>
      <c r="S26" s="144"/>
      <c r="T26" s="57"/>
      <c r="U26" s="145"/>
    </row>
    <row r="27" spans="1:21" s="146" customFormat="1" ht="18">
      <c r="A27" s="213"/>
      <c r="B27" s="212"/>
      <c r="C27" s="210"/>
      <c r="D27" s="211"/>
      <c r="E27" s="212"/>
      <c r="F27" s="210"/>
      <c r="G27" s="211"/>
      <c r="H27" s="211"/>
      <c r="I27" s="211"/>
      <c r="J27" s="212"/>
      <c r="K27" s="55"/>
      <c r="L27" s="114"/>
      <c r="M27" s="213"/>
      <c r="N27" s="211"/>
      <c r="O27" s="211"/>
      <c r="P27" s="212"/>
      <c r="Q27" s="221"/>
      <c r="R27" s="223"/>
      <c r="S27" s="144"/>
      <c r="T27" s="57"/>
      <c r="U27" s="145"/>
    </row>
    <row r="28" spans="1:21" s="146" customFormat="1" ht="18">
      <c r="A28" s="213"/>
      <c r="B28" s="212"/>
      <c r="C28" s="210"/>
      <c r="D28" s="211"/>
      <c r="E28" s="212"/>
      <c r="F28" s="210"/>
      <c r="G28" s="211"/>
      <c r="H28" s="211"/>
      <c r="I28" s="211"/>
      <c r="J28" s="212"/>
      <c r="K28" s="55"/>
      <c r="L28" s="114"/>
      <c r="M28" s="213"/>
      <c r="N28" s="211"/>
      <c r="O28" s="211"/>
      <c r="P28" s="212"/>
      <c r="Q28" s="221"/>
      <c r="R28" s="223"/>
      <c r="S28" s="144"/>
      <c r="T28" s="57"/>
      <c r="U28" s="145"/>
    </row>
    <row r="29" spans="1:21" s="146" customFormat="1" ht="18">
      <c r="A29" s="213"/>
      <c r="B29" s="212"/>
      <c r="C29" s="210"/>
      <c r="D29" s="211"/>
      <c r="E29" s="212"/>
      <c r="F29" s="210"/>
      <c r="G29" s="211"/>
      <c r="H29" s="211"/>
      <c r="I29" s="211"/>
      <c r="J29" s="212"/>
      <c r="K29" s="55"/>
      <c r="L29" s="114"/>
      <c r="M29" s="213"/>
      <c r="N29" s="211"/>
      <c r="O29" s="211"/>
      <c r="P29" s="212"/>
      <c r="Q29" s="221"/>
      <c r="R29" s="223"/>
      <c r="S29" s="144"/>
      <c r="T29" s="57"/>
      <c r="U29" s="145"/>
    </row>
    <row r="30" spans="1:21" s="59" customFormat="1" ht="18">
      <c r="A30" s="213"/>
      <c r="B30" s="212"/>
      <c r="C30" s="210"/>
      <c r="D30" s="211"/>
      <c r="E30" s="212"/>
      <c r="F30" s="210"/>
      <c r="G30" s="211"/>
      <c r="H30" s="211"/>
      <c r="I30" s="211"/>
      <c r="J30" s="212"/>
      <c r="K30" s="55"/>
      <c r="L30" s="114"/>
      <c r="M30" s="213"/>
      <c r="N30" s="211"/>
      <c r="O30" s="211"/>
      <c r="P30" s="212"/>
      <c r="Q30" s="221"/>
      <c r="R30" s="223"/>
      <c r="S30" s="144"/>
      <c r="T30" s="57"/>
      <c r="U30" s="145"/>
    </row>
    <row r="31" spans="1:21" s="59" customFormat="1" ht="18">
      <c r="A31" s="213"/>
      <c r="B31" s="212"/>
      <c r="C31" s="210"/>
      <c r="D31" s="211"/>
      <c r="E31" s="212"/>
      <c r="F31" s="210"/>
      <c r="G31" s="211"/>
      <c r="H31" s="211"/>
      <c r="I31" s="211"/>
      <c r="J31" s="212"/>
      <c r="K31" s="55"/>
      <c r="L31" s="114"/>
      <c r="M31" s="213"/>
      <c r="N31" s="211"/>
      <c r="O31" s="211"/>
      <c r="P31" s="212"/>
      <c r="Q31" s="221"/>
      <c r="R31" s="223"/>
      <c r="S31" s="144"/>
      <c r="T31" s="57"/>
      <c r="U31" s="145"/>
    </row>
    <row r="32" spans="1:21" s="146" customFormat="1" ht="18">
      <c r="A32" s="213"/>
      <c r="B32" s="212"/>
      <c r="C32" s="210"/>
      <c r="D32" s="211"/>
      <c r="E32" s="212"/>
      <c r="F32" s="210"/>
      <c r="G32" s="211"/>
      <c r="H32" s="211"/>
      <c r="I32" s="211"/>
      <c r="J32" s="212"/>
      <c r="K32" s="55"/>
      <c r="L32" s="114"/>
      <c r="M32" s="213"/>
      <c r="N32" s="211"/>
      <c r="O32" s="211"/>
      <c r="P32" s="212"/>
      <c r="Q32" s="221"/>
      <c r="R32" s="223"/>
      <c r="S32" s="144"/>
      <c r="T32" s="57"/>
      <c r="U32" s="145"/>
    </row>
    <row r="33" spans="1:21" s="146" customFormat="1" ht="18">
      <c r="A33" s="213"/>
      <c r="B33" s="212"/>
      <c r="C33" s="210"/>
      <c r="D33" s="211"/>
      <c r="E33" s="212"/>
      <c r="F33" s="210"/>
      <c r="G33" s="211"/>
      <c r="H33" s="211"/>
      <c r="I33" s="211"/>
      <c r="J33" s="212"/>
      <c r="K33" s="55"/>
      <c r="L33" s="114"/>
      <c r="M33" s="213"/>
      <c r="N33" s="211"/>
      <c r="O33" s="211"/>
      <c r="P33" s="212"/>
      <c r="Q33" s="221"/>
      <c r="R33" s="223"/>
      <c r="S33" s="144"/>
      <c r="T33" s="57"/>
      <c r="U33" s="145"/>
    </row>
    <row r="34" spans="1:21" s="146" customFormat="1" ht="18">
      <c r="A34" s="213"/>
      <c r="B34" s="212"/>
      <c r="C34" s="210"/>
      <c r="D34" s="211"/>
      <c r="E34" s="212"/>
      <c r="F34" s="210"/>
      <c r="G34" s="211"/>
      <c r="H34" s="211"/>
      <c r="I34" s="211"/>
      <c r="J34" s="212"/>
      <c r="K34" s="55"/>
      <c r="L34" s="114"/>
      <c r="M34" s="213"/>
      <c r="N34" s="211"/>
      <c r="O34" s="211"/>
      <c r="P34" s="212"/>
      <c r="Q34" s="221"/>
      <c r="R34" s="223"/>
      <c r="S34" s="144"/>
      <c r="T34" s="57"/>
      <c r="U34" s="145"/>
    </row>
    <row r="35" spans="1:21" s="146" customFormat="1" ht="18">
      <c r="A35" s="213"/>
      <c r="B35" s="212"/>
      <c r="C35" s="210"/>
      <c r="D35" s="211"/>
      <c r="E35" s="212"/>
      <c r="F35" s="210"/>
      <c r="G35" s="211"/>
      <c r="H35" s="211"/>
      <c r="I35" s="211"/>
      <c r="J35" s="212"/>
      <c r="K35" s="55"/>
      <c r="L35" s="114"/>
      <c r="M35" s="213"/>
      <c r="N35" s="211"/>
      <c r="O35" s="211"/>
      <c r="P35" s="212"/>
      <c r="Q35" s="221"/>
      <c r="R35" s="223"/>
      <c r="S35" s="144"/>
      <c r="T35" s="57"/>
      <c r="U35" s="145"/>
    </row>
    <row r="36" spans="1:21" s="146" customFormat="1" ht="18">
      <c r="A36" s="213"/>
      <c r="B36" s="212"/>
      <c r="C36" s="210"/>
      <c r="D36" s="211"/>
      <c r="E36" s="212"/>
      <c r="F36" s="210"/>
      <c r="G36" s="211"/>
      <c r="H36" s="211"/>
      <c r="I36" s="211"/>
      <c r="J36" s="212"/>
      <c r="K36" s="55"/>
      <c r="L36" s="114"/>
      <c r="M36" s="213"/>
      <c r="N36" s="211"/>
      <c r="O36" s="211"/>
      <c r="P36" s="212"/>
      <c r="Q36" s="221"/>
      <c r="R36" s="223"/>
      <c r="S36" s="144"/>
      <c r="T36" s="57"/>
      <c r="U36" s="145"/>
    </row>
    <row r="37" spans="1:21" s="59" customFormat="1" ht="18">
      <c r="A37" s="213"/>
      <c r="B37" s="212"/>
      <c r="C37" s="210"/>
      <c r="D37" s="211"/>
      <c r="E37" s="212"/>
      <c r="F37" s="210"/>
      <c r="G37" s="211"/>
      <c r="H37" s="211"/>
      <c r="I37" s="211"/>
      <c r="J37" s="212"/>
      <c r="K37" s="55"/>
      <c r="L37" s="114"/>
      <c r="M37" s="213"/>
      <c r="N37" s="211"/>
      <c r="O37" s="211"/>
      <c r="P37" s="212"/>
      <c r="Q37" s="221"/>
      <c r="R37" s="223"/>
      <c r="S37" s="144"/>
      <c r="T37" s="57"/>
      <c r="U37" s="145"/>
    </row>
    <row r="38" spans="1:21" s="59" customFormat="1" ht="18">
      <c r="A38" s="213"/>
      <c r="B38" s="212"/>
      <c r="C38" s="210"/>
      <c r="D38" s="211"/>
      <c r="E38" s="212"/>
      <c r="F38" s="210"/>
      <c r="G38" s="211"/>
      <c r="H38" s="211"/>
      <c r="I38" s="211"/>
      <c r="J38" s="212"/>
      <c r="K38" s="55"/>
      <c r="L38" s="114"/>
      <c r="M38" s="213"/>
      <c r="N38" s="211"/>
      <c r="O38" s="211"/>
      <c r="P38" s="212"/>
      <c r="Q38" s="221"/>
      <c r="R38" s="223"/>
      <c r="S38" s="144"/>
      <c r="T38" s="57"/>
      <c r="U38" s="145"/>
    </row>
    <row r="39" spans="1:21" s="146" customFormat="1" ht="18">
      <c r="A39" s="213"/>
      <c r="B39" s="212"/>
      <c r="C39" s="210"/>
      <c r="D39" s="211"/>
      <c r="E39" s="212"/>
      <c r="F39" s="210"/>
      <c r="G39" s="211"/>
      <c r="H39" s="211"/>
      <c r="I39" s="211"/>
      <c r="J39" s="212"/>
      <c r="K39" s="55"/>
      <c r="L39" s="114"/>
      <c r="M39" s="213"/>
      <c r="N39" s="211"/>
      <c r="O39" s="211"/>
      <c r="P39" s="212"/>
      <c r="Q39" s="221"/>
      <c r="R39" s="223"/>
      <c r="S39" s="144"/>
      <c r="T39" s="57"/>
      <c r="U39" s="145"/>
    </row>
    <row r="40" spans="1:21" s="146" customFormat="1" ht="18">
      <c r="A40" s="213"/>
      <c r="B40" s="212"/>
      <c r="C40" s="210"/>
      <c r="D40" s="211"/>
      <c r="E40" s="212"/>
      <c r="F40" s="210"/>
      <c r="G40" s="211"/>
      <c r="H40" s="211"/>
      <c r="I40" s="211"/>
      <c r="J40" s="212"/>
      <c r="K40" s="55"/>
      <c r="L40" s="114"/>
      <c r="M40" s="213"/>
      <c r="N40" s="211"/>
      <c r="O40" s="211"/>
      <c r="P40" s="212"/>
      <c r="Q40" s="221"/>
      <c r="R40" s="223"/>
      <c r="S40" s="144"/>
      <c r="T40" s="57"/>
      <c r="U40" s="145"/>
    </row>
    <row r="41" spans="1:21" s="146" customFormat="1" ht="18">
      <c r="A41" s="213"/>
      <c r="B41" s="212"/>
      <c r="C41" s="210"/>
      <c r="D41" s="211"/>
      <c r="E41" s="212"/>
      <c r="F41" s="210"/>
      <c r="G41" s="211"/>
      <c r="H41" s="211"/>
      <c r="I41" s="211"/>
      <c r="J41" s="212"/>
      <c r="K41" s="55"/>
      <c r="L41" s="114"/>
      <c r="M41" s="213"/>
      <c r="N41" s="211"/>
      <c r="O41" s="211"/>
      <c r="P41" s="212"/>
      <c r="Q41" s="221"/>
      <c r="R41" s="223"/>
      <c r="S41" s="144"/>
      <c r="T41" s="57"/>
      <c r="U41" s="145"/>
    </row>
    <row r="42" spans="1:21" s="59" customFormat="1" ht="18">
      <c r="A42" s="213"/>
      <c r="B42" s="212"/>
      <c r="C42" s="210"/>
      <c r="D42" s="211"/>
      <c r="E42" s="212"/>
      <c r="F42" s="210"/>
      <c r="G42" s="211"/>
      <c r="H42" s="211"/>
      <c r="I42" s="211"/>
      <c r="J42" s="212"/>
      <c r="K42" s="55"/>
      <c r="L42" s="114"/>
      <c r="M42" s="213"/>
      <c r="N42" s="211"/>
      <c r="O42" s="211"/>
      <c r="P42" s="212"/>
      <c r="Q42" s="221"/>
      <c r="R42" s="223"/>
      <c r="S42" s="144"/>
      <c r="T42" s="57"/>
      <c r="U42" s="145"/>
    </row>
    <row r="43" spans="1:21" s="59" customFormat="1" ht="18">
      <c r="A43" s="213"/>
      <c r="B43" s="212"/>
      <c r="C43" s="210"/>
      <c r="D43" s="211"/>
      <c r="E43" s="212"/>
      <c r="F43" s="210"/>
      <c r="G43" s="211"/>
      <c r="H43" s="211"/>
      <c r="I43" s="211"/>
      <c r="J43" s="212"/>
      <c r="K43" s="55"/>
      <c r="L43" s="114"/>
      <c r="M43" s="213"/>
      <c r="N43" s="211"/>
      <c r="O43" s="211"/>
      <c r="P43" s="212"/>
      <c r="Q43" s="221"/>
      <c r="R43" s="223"/>
      <c r="S43" s="144"/>
      <c r="T43" s="60"/>
      <c r="U43" s="145"/>
    </row>
    <row r="44" spans="1:21" s="59" customFormat="1" ht="18">
      <c r="A44" s="239" t="s">
        <v>136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213"/>
      <c r="N44" s="211"/>
      <c r="O44" s="211"/>
      <c r="P44" s="212"/>
      <c r="Q44" s="221"/>
      <c r="R44" s="223"/>
      <c r="S44" s="144"/>
      <c r="T44" s="60"/>
      <c r="U44" s="145"/>
    </row>
    <row r="45" spans="1:21" s="59" customFormat="1" ht="18">
      <c r="A45" s="236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213"/>
      <c r="N45" s="211"/>
      <c r="O45" s="211"/>
      <c r="P45" s="212"/>
      <c r="Q45" s="221"/>
      <c r="R45" s="223"/>
      <c r="S45" s="144"/>
      <c r="T45" s="60"/>
      <c r="U45" s="145"/>
    </row>
    <row r="46" spans="1:21" s="59" customFormat="1" ht="18">
      <c r="A46" s="213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29"/>
      <c r="M46" s="213"/>
      <c r="N46" s="211"/>
      <c r="O46" s="211"/>
      <c r="P46" s="212"/>
      <c r="Q46" s="214"/>
      <c r="R46" s="215"/>
      <c r="S46" s="144"/>
      <c r="T46" s="60"/>
      <c r="U46" s="145"/>
    </row>
    <row r="47" spans="1:21" s="59" customFormat="1" ht="18">
      <c r="A47" s="213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29"/>
      <c r="M47" s="154" t="s">
        <v>137</v>
      </c>
      <c r="N47" s="155"/>
      <c r="O47" s="155"/>
      <c r="P47" s="156"/>
      <c r="Q47" s="214">
        <f>SUM(Q15:R46)</f>
        <v>0</v>
      </c>
      <c r="R47" s="215"/>
      <c r="S47" s="128"/>
      <c r="T47" s="60"/>
      <c r="U47" s="145"/>
    </row>
    <row r="48" spans="1:21" s="59" customFormat="1" ht="18.75" thickBot="1">
      <c r="A48" s="207" t="s">
        <v>138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4"/>
      <c r="M48" s="157" t="s">
        <v>139</v>
      </c>
      <c r="N48" s="158"/>
      <c r="O48" s="158"/>
      <c r="P48" s="159"/>
      <c r="Q48" s="264">
        <v>0</v>
      </c>
      <c r="R48" s="268"/>
      <c r="S48" s="160"/>
      <c r="T48" s="60"/>
      <c r="U48" s="145"/>
    </row>
    <row r="49" spans="1:21" s="59" customFormat="1" ht="18">
      <c r="A49" s="161" t="s">
        <v>140</v>
      </c>
      <c r="B49" s="162"/>
      <c r="C49" s="163"/>
      <c r="D49" s="230" t="s">
        <v>141</v>
      </c>
      <c r="E49" s="231"/>
      <c r="F49" s="234" t="s">
        <v>142</v>
      </c>
      <c r="G49" s="235"/>
      <c r="H49" s="164" t="s">
        <v>143</v>
      </c>
      <c r="I49" s="165"/>
      <c r="J49" s="266"/>
      <c r="K49" s="266"/>
      <c r="L49" s="266"/>
      <c r="M49" s="266"/>
      <c r="N49" s="266"/>
      <c r="O49" s="266"/>
      <c r="P49" s="266"/>
      <c r="Q49" s="266"/>
      <c r="R49" s="267"/>
      <c r="S49" s="160"/>
      <c r="T49" s="60"/>
      <c r="U49" s="145"/>
    </row>
    <row r="50" spans="1:21" s="59" customFormat="1" ht="18">
      <c r="A50" s="166" t="s">
        <v>144</v>
      </c>
      <c r="B50" s="167"/>
      <c r="C50" s="168"/>
      <c r="D50" s="232"/>
      <c r="E50" s="233"/>
      <c r="F50" s="246"/>
      <c r="G50" s="247"/>
      <c r="H50" s="205"/>
      <c r="I50" s="206"/>
      <c r="J50" s="206"/>
      <c r="K50" s="206"/>
      <c r="L50" s="206"/>
      <c r="M50" s="206"/>
      <c r="N50" s="206"/>
      <c r="O50" s="206"/>
      <c r="P50" s="206"/>
      <c r="Q50" s="206"/>
      <c r="R50" s="209"/>
      <c r="S50" s="160"/>
      <c r="T50" s="60"/>
      <c r="U50" s="145"/>
    </row>
    <row r="51" spans="1:21" s="59" customFormat="1" ht="18.75" thickBot="1">
      <c r="A51" s="166" t="s">
        <v>145</v>
      </c>
      <c r="B51" s="167"/>
      <c r="C51" s="168"/>
      <c r="D51" s="232"/>
      <c r="E51" s="233"/>
      <c r="F51" s="208"/>
      <c r="G51" s="209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3"/>
      <c r="S51" s="160"/>
      <c r="T51" s="60"/>
      <c r="U51" s="145"/>
    </row>
    <row r="52" spans="1:21" s="59" customFormat="1" ht="18">
      <c r="A52" s="166" t="s">
        <v>146</v>
      </c>
      <c r="B52" s="167"/>
      <c r="C52" s="168"/>
      <c r="D52" s="232"/>
      <c r="E52" s="233"/>
      <c r="F52" s="208"/>
      <c r="G52" s="209"/>
      <c r="H52" s="164" t="s">
        <v>147</v>
      </c>
      <c r="I52" s="165"/>
      <c r="J52" s="165"/>
      <c r="K52" s="165"/>
      <c r="L52" s="165"/>
      <c r="M52" s="165"/>
      <c r="N52" s="165"/>
      <c r="O52" s="165"/>
      <c r="P52" s="169"/>
      <c r="Q52" s="170" t="s">
        <v>148</v>
      </c>
      <c r="R52" s="171"/>
      <c r="S52" s="172"/>
      <c r="T52" s="57" t="s">
        <v>3</v>
      </c>
      <c r="U52" s="61"/>
    </row>
    <row r="53" spans="1:21" s="59" customFormat="1" ht="18.75" thickBot="1">
      <c r="A53" s="173" t="s">
        <v>149</v>
      </c>
      <c r="B53" s="174"/>
      <c r="C53" s="175"/>
      <c r="D53" s="264"/>
      <c r="E53" s="265"/>
      <c r="F53" s="242"/>
      <c r="G53" s="243"/>
      <c r="H53" s="224"/>
      <c r="I53" s="225"/>
      <c r="J53" s="225"/>
      <c r="K53" s="225"/>
      <c r="L53" s="225"/>
      <c r="M53" s="225"/>
      <c r="N53" s="225"/>
      <c r="O53" s="225"/>
      <c r="P53" s="226"/>
      <c r="Q53" s="227"/>
      <c r="R53" s="228"/>
      <c r="S53" s="172"/>
      <c r="T53" s="57" t="s">
        <v>150</v>
      </c>
      <c r="U53" s="62"/>
    </row>
    <row r="54" spans="1:21" s="59" customFormat="1" ht="18">
      <c r="A54" s="176" t="s">
        <v>151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T54" s="63"/>
      <c r="U54" s="63"/>
    </row>
    <row r="55" spans="1:21" s="59" customFormat="1" ht="18">
      <c r="A55" s="160" t="s">
        <v>152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T55" s="63" t="s">
        <v>153</v>
      </c>
      <c r="U55" s="63">
        <f>+'[1]Magic Items'!L51</f>
        <v>0</v>
      </c>
    </row>
    <row r="56" spans="1:21" s="59" customFormat="1" ht="18.75" thickBot="1">
      <c r="A56" s="160" t="s">
        <v>154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T56" s="63" t="s">
        <v>4</v>
      </c>
      <c r="U56" s="64">
        <f>+U53+U55</f>
        <v>0</v>
      </c>
    </row>
    <row r="57" spans="1:12" s="59" customFormat="1" ht="15.75" thickTop="1">
      <c r="A57" s="160" t="s">
        <v>155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</row>
    <row r="58" spans="1:12" s="59" customFormat="1" ht="15">
      <c r="A58" s="160" t="s">
        <v>156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</row>
    <row r="59" spans="1:12" s="59" customFormat="1" ht="15">
      <c r="A59" s="160" t="s">
        <v>157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</row>
    <row r="60" spans="1:12" s="59" customFormat="1" ht="15">
      <c r="A60" s="160" t="s">
        <v>158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1:12" s="59" customFormat="1" ht="15">
      <c r="A61" s="160" t="s">
        <v>159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</row>
    <row r="62" spans="1:12" s="59" customFormat="1" ht="1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</row>
    <row r="63" spans="1:12" s="59" customFormat="1" ht="1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</row>
    <row r="64" spans="1:12" s="59" customFormat="1" ht="1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</row>
    <row r="65" spans="1:12" s="59" customFormat="1" ht="1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s="59" customFormat="1" ht="1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</row>
    <row r="67" spans="1:12" s="59" customFormat="1" ht="1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</row>
    <row r="68" spans="1:12" ht="1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</row>
    <row r="69" spans="1:12" ht="1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2" ht="1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</row>
    <row r="71" spans="1:12" ht="1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</row>
    <row r="72" spans="1:12" ht="1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</row>
    <row r="73" spans="1:12" ht="1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</row>
    <row r="74" spans="1:12" ht="1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</row>
    <row r="75" spans="1:12" ht="1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</row>
    <row r="76" spans="1:12" ht="1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</row>
    <row r="77" spans="1:12" ht="1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</row>
    <row r="78" spans="1:12" ht="1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</row>
    <row r="79" spans="1:12" ht="1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</row>
    <row r="80" spans="1:12" ht="1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</row>
    <row r="81" spans="1:12" ht="1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</row>
    <row r="82" spans="1:12" ht="1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</row>
    <row r="83" spans="1:12" ht="1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</row>
    <row r="84" spans="1:12" ht="1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</row>
    <row r="85" spans="1:12" ht="1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</row>
    <row r="86" spans="1:12" ht="1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</row>
    <row r="87" spans="1:12" ht="1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</row>
    <row r="88" spans="1:12" ht="1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</row>
    <row r="89" spans="1:12" ht="1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</row>
    <row r="90" spans="1:12" ht="1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</row>
    <row r="91" spans="1:12" ht="1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</row>
    <row r="92" spans="1:12" ht="1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</row>
    <row r="93" spans="1:12" ht="1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</row>
    <row r="94" spans="1:12" ht="1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</row>
    <row r="95" spans="1:12" ht="1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</row>
    <row r="96" spans="1:12" ht="1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</row>
    <row r="97" spans="1:12" ht="1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</row>
    <row r="98" spans="1:12" ht="1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</row>
    <row r="99" spans="1:12" ht="1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</row>
    <row r="100" spans="1:12" ht="1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</row>
    <row r="101" spans="1:12" ht="1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</row>
    <row r="102" spans="1:12" ht="1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</row>
    <row r="103" spans="1:12" ht="1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</row>
    <row r="104" spans="1:12" ht="1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</row>
    <row r="105" spans="1:12" ht="1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</row>
    <row r="106" spans="1:12" ht="1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</row>
    <row r="107" spans="1:12" ht="1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</row>
    <row r="108" spans="1:12" ht="1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</row>
    <row r="109" spans="1:12" ht="1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</row>
    <row r="110" spans="1:12" ht="1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</row>
    <row r="111" spans="1:12" ht="1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</row>
    <row r="112" spans="1:12" ht="1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</row>
  </sheetData>
  <mergeCells count="166">
    <mergeCell ref="A43:B43"/>
    <mergeCell ref="C43:E43"/>
    <mergeCell ref="F43:J43"/>
    <mergeCell ref="A38:B38"/>
    <mergeCell ref="C38:E38"/>
    <mergeCell ref="A42:B42"/>
    <mergeCell ref="C42:E42"/>
    <mergeCell ref="A41:B41"/>
    <mergeCell ref="C41:E41"/>
    <mergeCell ref="F41:J41"/>
    <mergeCell ref="A40:B40"/>
    <mergeCell ref="C40:E40"/>
    <mergeCell ref="C19:E19"/>
    <mergeCell ref="C31:E31"/>
    <mergeCell ref="C32:E32"/>
    <mergeCell ref="C26:E26"/>
    <mergeCell ref="C25:E25"/>
    <mergeCell ref="C28:E28"/>
    <mergeCell ref="C29:E29"/>
    <mergeCell ref="C39:E39"/>
    <mergeCell ref="M12:O12"/>
    <mergeCell ref="B14:E14"/>
    <mergeCell ref="B13:E13"/>
    <mergeCell ref="B15:E15"/>
    <mergeCell ref="M15:P15"/>
    <mergeCell ref="B12:E12"/>
    <mergeCell ref="Q14:R14"/>
    <mergeCell ref="D53:E53"/>
    <mergeCell ref="J49:R49"/>
    <mergeCell ref="Q48:R48"/>
    <mergeCell ref="M37:P37"/>
    <mergeCell ref="M38:P38"/>
    <mergeCell ref="M39:P39"/>
    <mergeCell ref="M40:P40"/>
    <mergeCell ref="M41:P41"/>
    <mergeCell ref="M28:P28"/>
    <mergeCell ref="B16:E16"/>
    <mergeCell ref="B4:H4"/>
    <mergeCell ref="H5:J5"/>
    <mergeCell ref="B6:E6"/>
    <mergeCell ref="B7:E7"/>
    <mergeCell ref="B8:E8"/>
    <mergeCell ref="B9:E9"/>
    <mergeCell ref="B10:E10"/>
    <mergeCell ref="B11:E11"/>
    <mergeCell ref="K16:L16"/>
    <mergeCell ref="M18:P18"/>
    <mergeCell ref="M19:P19"/>
    <mergeCell ref="M20:P20"/>
    <mergeCell ref="M16:P16"/>
    <mergeCell ref="M29:P29"/>
    <mergeCell ref="F16:J16"/>
    <mergeCell ref="F31:J31"/>
    <mergeCell ref="F32:J32"/>
    <mergeCell ref="F26:J26"/>
    <mergeCell ref="F28:J28"/>
    <mergeCell ref="M31:P31"/>
    <mergeCell ref="M17:P17"/>
    <mergeCell ref="F29:J29"/>
    <mergeCell ref="M30:P30"/>
    <mergeCell ref="M32:P32"/>
    <mergeCell ref="M43:P43"/>
    <mergeCell ref="M34:P34"/>
    <mergeCell ref="M36:P36"/>
    <mergeCell ref="M35:P35"/>
    <mergeCell ref="M33:P33"/>
    <mergeCell ref="M42:P42"/>
    <mergeCell ref="F40:J40"/>
    <mergeCell ref="F42:J42"/>
    <mergeCell ref="F53:G53"/>
    <mergeCell ref="H51:R51"/>
    <mergeCell ref="Q43:R43"/>
    <mergeCell ref="Q46:R46"/>
    <mergeCell ref="M44:P44"/>
    <mergeCell ref="F50:G50"/>
    <mergeCell ref="F52:G52"/>
    <mergeCell ref="M46:P46"/>
    <mergeCell ref="M7:N7"/>
    <mergeCell ref="M8:N8"/>
    <mergeCell ref="M10:O10"/>
    <mergeCell ref="M11:O11"/>
    <mergeCell ref="Q44:R44"/>
    <mergeCell ref="Q45:R45"/>
    <mergeCell ref="A48:L48"/>
    <mergeCell ref="H50:R50"/>
    <mergeCell ref="A45:L45"/>
    <mergeCell ref="A44:L44"/>
    <mergeCell ref="D52:E52"/>
    <mergeCell ref="D50:E50"/>
    <mergeCell ref="D51:E51"/>
    <mergeCell ref="F49:G49"/>
    <mergeCell ref="F51:G51"/>
    <mergeCell ref="Q40:R40"/>
    <mergeCell ref="Q41:R41"/>
    <mergeCell ref="Q42:R42"/>
    <mergeCell ref="H53:P53"/>
    <mergeCell ref="Q53:R53"/>
    <mergeCell ref="Q47:R47"/>
    <mergeCell ref="M45:P45"/>
    <mergeCell ref="A46:L46"/>
    <mergeCell ref="A47:L47"/>
    <mergeCell ref="D49:E49"/>
    <mergeCell ref="Q37:R37"/>
    <mergeCell ref="Q34:R34"/>
    <mergeCell ref="Q38:R38"/>
    <mergeCell ref="Q39:R39"/>
    <mergeCell ref="Q32:R32"/>
    <mergeCell ref="Q33:R33"/>
    <mergeCell ref="Q35:R35"/>
    <mergeCell ref="Q36:R36"/>
    <mergeCell ref="Q28:R28"/>
    <mergeCell ref="Q29:R29"/>
    <mergeCell ref="Q30:R30"/>
    <mergeCell ref="Q31:R31"/>
    <mergeCell ref="Q21:R21"/>
    <mergeCell ref="Q22:R22"/>
    <mergeCell ref="Q23:R23"/>
    <mergeCell ref="Q24:R24"/>
    <mergeCell ref="A26:B26"/>
    <mergeCell ref="A27:B27"/>
    <mergeCell ref="Q25:R25"/>
    <mergeCell ref="Q26:R26"/>
    <mergeCell ref="Q27:R27"/>
    <mergeCell ref="M26:P26"/>
    <mergeCell ref="M27:P27"/>
    <mergeCell ref="C27:E27"/>
    <mergeCell ref="F27:J27"/>
    <mergeCell ref="M21:P21"/>
    <mergeCell ref="M22:P22"/>
    <mergeCell ref="M25:P25"/>
    <mergeCell ref="M24:P24"/>
    <mergeCell ref="Q15:R15"/>
    <mergeCell ref="Q16:R16"/>
    <mergeCell ref="M23:P23"/>
    <mergeCell ref="A25:B25"/>
    <mergeCell ref="F25:J25"/>
    <mergeCell ref="Q19:R19"/>
    <mergeCell ref="Q20:R20"/>
    <mergeCell ref="F19:J19"/>
    <mergeCell ref="Q17:R17"/>
    <mergeCell ref="Q18:R18"/>
    <mergeCell ref="A28:B28"/>
    <mergeCell ref="A37:B37"/>
    <mergeCell ref="A34:B34"/>
    <mergeCell ref="A35:B35"/>
    <mergeCell ref="A31:B31"/>
    <mergeCell ref="A29:B29"/>
    <mergeCell ref="A32:B32"/>
    <mergeCell ref="C30:E30"/>
    <mergeCell ref="F30:J30"/>
    <mergeCell ref="F36:J36"/>
    <mergeCell ref="A33:B33"/>
    <mergeCell ref="A36:B36"/>
    <mergeCell ref="A30:B30"/>
    <mergeCell ref="C36:E36"/>
    <mergeCell ref="F33:J33"/>
    <mergeCell ref="C34:E34"/>
    <mergeCell ref="F37:J37"/>
    <mergeCell ref="C33:E33"/>
    <mergeCell ref="A39:B39"/>
    <mergeCell ref="F39:J39"/>
    <mergeCell ref="F38:J38"/>
    <mergeCell ref="C37:E37"/>
    <mergeCell ref="F34:J34"/>
    <mergeCell ref="C35:E35"/>
    <mergeCell ref="F35:J35"/>
  </mergeCells>
  <printOptions/>
  <pageMargins left="0.5" right="0.3" top="0.3" bottom="0.3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75" zoomScaleNormal="75" workbookViewId="0" topLeftCell="A31">
      <selection activeCell="L44" sqref="L44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31" t="s">
        <v>0</v>
      </c>
      <c r="B1" s="32"/>
      <c r="C1" s="32"/>
      <c r="D1" s="12"/>
      <c r="E1" s="32"/>
      <c r="F1" s="32"/>
      <c r="G1" s="32"/>
      <c r="H1" s="32"/>
      <c r="I1" s="32"/>
      <c r="J1" s="33"/>
    </row>
    <row r="2" spans="1:10" ht="16.5" thickBot="1">
      <c r="A2" s="3" t="s">
        <v>5</v>
      </c>
      <c r="B2" s="4"/>
      <c r="C2" s="4"/>
      <c r="D2" s="5"/>
      <c r="E2" s="5"/>
      <c r="F2" s="5"/>
      <c r="G2" s="5"/>
      <c r="H2" s="5"/>
      <c r="I2" s="5"/>
      <c r="J2" s="6"/>
    </row>
    <row r="3" spans="1:10" ht="15.75">
      <c r="A3" s="7" t="s">
        <v>6</v>
      </c>
      <c r="B3" s="8"/>
      <c r="C3" s="39">
        <f>'Character Record'!B4</f>
        <v>0</v>
      </c>
      <c r="D3" s="40"/>
      <c r="E3" s="39"/>
      <c r="F3" s="41"/>
      <c r="G3" s="40"/>
      <c r="H3" s="39"/>
      <c r="I3" s="39"/>
      <c r="J3" s="42"/>
    </row>
    <row r="4" spans="1:10" ht="16.5" thickBot="1">
      <c r="A4" s="47" t="s">
        <v>7</v>
      </c>
      <c r="B4" s="48"/>
      <c r="C4" s="45">
        <f>'Character Record'!B16</f>
        <v>0</v>
      </c>
      <c r="D4" s="43"/>
      <c r="E4" s="43"/>
      <c r="F4" s="43"/>
      <c r="G4" s="43"/>
      <c r="H4" s="43"/>
      <c r="I4" s="43"/>
      <c r="J4" s="44"/>
    </row>
    <row r="5" spans="1:10" ht="15.75">
      <c r="A5" s="9" t="s">
        <v>8</v>
      </c>
      <c r="B5" s="10"/>
      <c r="C5" s="35"/>
      <c r="D5" s="277"/>
      <c r="E5" s="278"/>
      <c r="F5" s="278"/>
      <c r="G5" s="278"/>
      <c r="H5" s="278"/>
      <c r="I5" s="278"/>
      <c r="J5" s="279"/>
    </row>
    <row r="6" spans="1:10" ht="15">
      <c r="A6" s="11"/>
      <c r="B6" s="12"/>
      <c r="C6" s="35"/>
      <c r="D6" s="271"/>
      <c r="E6" s="272"/>
      <c r="F6" s="272"/>
      <c r="G6" s="272"/>
      <c r="H6" s="272"/>
      <c r="I6" s="272"/>
      <c r="J6" s="273"/>
    </row>
    <row r="7" spans="1:10" ht="15">
      <c r="A7" s="11"/>
      <c r="B7" s="12"/>
      <c r="C7" s="35"/>
      <c r="D7" s="271"/>
      <c r="E7" s="272"/>
      <c r="F7" s="272"/>
      <c r="G7" s="272"/>
      <c r="H7" s="272"/>
      <c r="I7" s="272"/>
      <c r="J7" s="273"/>
    </row>
    <row r="8" spans="1:10" ht="15">
      <c r="A8" s="13"/>
      <c r="B8" s="1"/>
      <c r="C8" s="35"/>
      <c r="D8" s="271"/>
      <c r="E8" s="272"/>
      <c r="F8" s="272"/>
      <c r="G8" s="272"/>
      <c r="H8" s="272"/>
      <c r="I8" s="272"/>
      <c r="J8" s="273"/>
    </row>
    <row r="9" spans="1:10" ht="15">
      <c r="A9" s="13"/>
      <c r="B9" s="1"/>
      <c r="C9" s="35"/>
      <c r="D9" s="271"/>
      <c r="E9" s="272"/>
      <c r="F9" s="272"/>
      <c r="G9" s="272"/>
      <c r="H9" s="272"/>
      <c r="I9" s="272"/>
      <c r="J9" s="273"/>
    </row>
    <row r="10" spans="1:12" ht="18.75" thickBot="1">
      <c r="A10" s="14"/>
      <c r="B10" s="5"/>
      <c r="C10" s="46"/>
      <c r="D10" s="274"/>
      <c r="E10" s="275"/>
      <c r="F10" s="275"/>
      <c r="G10" s="275"/>
      <c r="H10" s="275"/>
      <c r="I10" s="275"/>
      <c r="J10" s="276"/>
      <c r="L10" s="15" t="s">
        <v>1</v>
      </c>
    </row>
    <row r="11" spans="1:12" ht="18">
      <c r="A11" s="16" t="s">
        <v>9</v>
      </c>
      <c r="B11" s="17" t="s">
        <v>10</v>
      </c>
      <c r="C11" s="17" t="s">
        <v>11</v>
      </c>
      <c r="D11" s="18" t="s">
        <v>12</v>
      </c>
      <c r="E11" s="18" t="s">
        <v>15</v>
      </c>
      <c r="F11" s="18" t="s">
        <v>42</v>
      </c>
      <c r="G11" s="18" t="s">
        <v>43</v>
      </c>
      <c r="H11" s="18" t="s">
        <v>13</v>
      </c>
      <c r="I11" s="18" t="s">
        <v>19</v>
      </c>
      <c r="J11" s="19" t="s">
        <v>14</v>
      </c>
      <c r="L11" s="20" t="s">
        <v>2</v>
      </c>
    </row>
    <row r="12" spans="1:12" s="21" customFormat="1" ht="18">
      <c r="A12" s="34" t="s">
        <v>25</v>
      </c>
      <c r="B12" s="35" t="s">
        <v>68</v>
      </c>
      <c r="C12" s="35" t="s">
        <v>47</v>
      </c>
      <c r="D12" s="36">
        <v>0</v>
      </c>
      <c r="E12" s="36" t="str">
        <f>10+10*D12&amp;"'"</f>
        <v>10'</v>
      </c>
      <c r="F12" s="36" t="s">
        <v>27</v>
      </c>
      <c r="G12" s="36">
        <v>50</v>
      </c>
      <c r="H12" s="36" t="s">
        <v>28</v>
      </c>
      <c r="I12" s="38" t="str">
        <f>H12</f>
        <v>Auto.</v>
      </c>
      <c r="J12" s="37" t="s">
        <v>34</v>
      </c>
      <c r="L12" s="2"/>
    </row>
    <row r="13" spans="1:12" s="21" customFormat="1" ht="18">
      <c r="A13" s="34" t="s">
        <v>29</v>
      </c>
      <c r="B13" s="35" t="s">
        <v>49</v>
      </c>
      <c r="C13" s="35" t="s">
        <v>50</v>
      </c>
      <c r="D13" s="36">
        <v>0</v>
      </c>
      <c r="E13" s="36" t="str">
        <f>50+10*D13&amp;"'"</f>
        <v>50'</v>
      </c>
      <c r="F13" s="36" t="s">
        <v>51</v>
      </c>
      <c r="G13" s="36">
        <v>100</v>
      </c>
      <c r="H13" s="36" t="s">
        <v>28</v>
      </c>
      <c r="I13" s="38" t="str">
        <f>H13</f>
        <v>Auto.</v>
      </c>
      <c r="J13" s="37" t="s">
        <v>34</v>
      </c>
      <c r="L13" s="2"/>
    </row>
    <row r="14" spans="1:12" s="21" customFormat="1" ht="18">
      <c r="A14" s="34" t="s">
        <v>30</v>
      </c>
      <c r="B14" s="35" t="s">
        <v>52</v>
      </c>
      <c r="C14" s="35" t="s">
        <v>53</v>
      </c>
      <c r="D14" s="36">
        <v>0</v>
      </c>
      <c r="E14" s="36" t="s">
        <v>37</v>
      </c>
      <c r="F14" s="36" t="s">
        <v>27</v>
      </c>
      <c r="G14" s="36">
        <v>75</v>
      </c>
      <c r="H14" s="38">
        <f>'Character Record'!J4+('Magic Record'!D13*5)</f>
        <v>0</v>
      </c>
      <c r="I14" s="38">
        <f>H14</f>
        <v>0</v>
      </c>
      <c r="J14" s="37" t="s">
        <v>24</v>
      </c>
      <c r="L14" s="2"/>
    </row>
    <row r="15" spans="1:12" s="21" customFormat="1" ht="18">
      <c r="A15" s="34" t="s">
        <v>31</v>
      </c>
      <c r="B15" s="35" t="s">
        <v>54</v>
      </c>
      <c r="C15" s="35" t="s">
        <v>55</v>
      </c>
      <c r="D15" s="36">
        <v>0</v>
      </c>
      <c r="E15" s="36" t="str">
        <f>15+1*D15&amp;"'"</f>
        <v>15'</v>
      </c>
      <c r="F15" s="36" t="str">
        <f>1+1*D15&amp;" hours"</f>
        <v>1 hours</v>
      </c>
      <c r="G15" s="36">
        <v>50</v>
      </c>
      <c r="H15" s="36">
        <v>60</v>
      </c>
      <c r="I15" s="38">
        <f>H15+(D15*3)+('Character Record'!N2-15)</f>
        <v>45</v>
      </c>
      <c r="J15" s="37" t="s">
        <v>34</v>
      </c>
      <c r="L15" s="2"/>
    </row>
    <row r="16" spans="1:12" s="21" customFormat="1" ht="18">
      <c r="A16" s="34" t="s">
        <v>32</v>
      </c>
      <c r="B16" s="35" t="s">
        <v>56</v>
      </c>
      <c r="C16" s="49" t="str">
        <f>+"Creates "&amp;1000+500*D16&amp;" cu' of light"</f>
        <v>Creates 1000 cu' of light</v>
      </c>
      <c r="D16" s="36">
        <v>0</v>
      </c>
      <c r="E16" s="36" t="str">
        <f>15+15*D16&amp;"'"</f>
        <v>15'</v>
      </c>
      <c r="F16" s="36" t="s">
        <v>37</v>
      </c>
      <c r="G16" s="36">
        <v>75</v>
      </c>
      <c r="H16" s="36">
        <v>50</v>
      </c>
      <c r="I16" s="38">
        <f>H16+(D16*3)+('Character Record'!N2-15)</f>
        <v>35</v>
      </c>
      <c r="J16" s="37" t="s">
        <v>34</v>
      </c>
      <c r="L16" s="2"/>
    </row>
    <row r="17" spans="1:12" s="21" customFormat="1" ht="18">
      <c r="A17" s="34" t="s">
        <v>33</v>
      </c>
      <c r="B17" s="35" t="s">
        <v>57</v>
      </c>
      <c r="C17" s="49" t="str">
        <f>+"Creates "&amp;1000+500*D17&amp;" cu' of darkness"</f>
        <v>Creates 1000 cu' of darkness</v>
      </c>
      <c r="D17" s="36">
        <v>0</v>
      </c>
      <c r="E17" s="36" t="str">
        <f>15+15*D17&amp;"'"</f>
        <v>15'</v>
      </c>
      <c r="F17" s="36" t="s">
        <v>37</v>
      </c>
      <c r="G17" s="36">
        <v>75</v>
      </c>
      <c r="H17" s="36">
        <v>50</v>
      </c>
      <c r="I17" s="38">
        <f>H17+(D17*3)+('Character Record'!N2-15)</f>
        <v>35</v>
      </c>
      <c r="J17" s="37" t="s">
        <v>34</v>
      </c>
      <c r="L17" s="2"/>
    </row>
    <row r="18" spans="1:12" s="21" customFormat="1" ht="18">
      <c r="A18" s="34" t="s">
        <v>35</v>
      </c>
      <c r="B18" s="35" t="s">
        <v>58</v>
      </c>
      <c r="C18" s="49" t="str">
        <f>"+"&amp;2+2*D18&amp;" DB (melee) and +"&amp;1+1*D18&amp;" DB (close)"</f>
        <v>+2 DB (melee) and +1 DB (close)</v>
      </c>
      <c r="D18" s="36">
        <v>0</v>
      </c>
      <c r="E18" s="36" t="str">
        <f>15+1*D17&amp;"'"</f>
        <v>15'</v>
      </c>
      <c r="F18" s="36" t="str">
        <f>30+30*D18&amp;" minutes"</f>
        <v>30 minutes</v>
      </c>
      <c r="G18" s="36">
        <v>150</v>
      </c>
      <c r="H18" s="36">
        <v>10</v>
      </c>
      <c r="I18" s="38">
        <f>H18+(D18*3)+('Character Record'!N2-15)</f>
        <v>-5</v>
      </c>
      <c r="J18" s="37" t="s">
        <v>34</v>
      </c>
      <c r="L18" s="2"/>
    </row>
    <row r="19" spans="1:15" s="21" customFormat="1" ht="18">
      <c r="A19" s="34" t="s">
        <v>36</v>
      </c>
      <c r="B19" s="35" t="s">
        <v>59</v>
      </c>
      <c r="C19" s="35" t="str">
        <f>+"Will cause (D-5)+"&amp;D19&amp;" DP to dark creat"</f>
        <v>Will cause (D-5)+0 DP to dark creat</v>
      </c>
      <c r="D19" s="36">
        <v>0</v>
      </c>
      <c r="E19" s="36" t="str">
        <f>15+15*D19&amp;"'"</f>
        <v>15'</v>
      </c>
      <c r="F19" s="36" t="str">
        <f>10+10*D19&amp;" minutes"</f>
        <v>10 minutes</v>
      </c>
      <c r="G19" s="36">
        <v>150</v>
      </c>
      <c r="H19" s="36">
        <v>15</v>
      </c>
      <c r="I19" s="38">
        <f>H19+(D19*3)+('Character Record'!N2-15)</f>
        <v>0</v>
      </c>
      <c r="J19" s="37" t="s">
        <v>23</v>
      </c>
      <c r="L19" s="2"/>
      <c r="O19" s="21" t="s">
        <v>22</v>
      </c>
    </row>
    <row r="20" spans="1:12" s="21" customFormat="1" ht="18">
      <c r="A20" s="34" t="s">
        <v>38</v>
      </c>
      <c r="B20" s="35" t="s">
        <v>60</v>
      </c>
      <c r="C20" s="35" t="str">
        <f>+"Will cause (D-5)+"&amp;D20&amp;" DP to light creat"</f>
        <v>Will cause (D-5)+0 DP to light creat</v>
      </c>
      <c r="D20" s="36">
        <v>0</v>
      </c>
      <c r="E20" s="36" t="str">
        <f>15+15*D20&amp;"'"</f>
        <v>15'</v>
      </c>
      <c r="F20" s="36" t="str">
        <f>10+10*D20&amp;" minutes"</f>
        <v>10 minutes</v>
      </c>
      <c r="G20" s="36">
        <v>100</v>
      </c>
      <c r="H20" s="36">
        <v>20</v>
      </c>
      <c r="I20" s="38">
        <f>H20+(D20*3)+('Character Record'!N2-15)</f>
        <v>5</v>
      </c>
      <c r="J20" s="37" t="s">
        <v>23</v>
      </c>
      <c r="L20" s="2"/>
    </row>
    <row r="21" spans="1:12" s="21" customFormat="1" ht="18">
      <c r="A21" s="34" t="s">
        <v>39</v>
      </c>
      <c r="B21" s="35" t="s">
        <v>63</v>
      </c>
      <c r="C21" s="35" t="s">
        <v>71</v>
      </c>
      <c r="D21" s="36">
        <v>0</v>
      </c>
      <c r="E21" s="36" t="str">
        <f>15+15*D20&amp;"'"</f>
        <v>15'</v>
      </c>
      <c r="F21" s="36" t="str">
        <f>30+30*D21&amp;" minutes"</f>
        <v>30 minutes</v>
      </c>
      <c r="G21" s="36">
        <v>150</v>
      </c>
      <c r="H21" s="36">
        <v>15</v>
      </c>
      <c r="I21" s="38">
        <f>H21+(D21*3)+('Character Record'!N2-15)</f>
        <v>0</v>
      </c>
      <c r="J21" s="37" t="s">
        <v>34</v>
      </c>
      <c r="L21" s="2"/>
    </row>
    <row r="22" spans="1:12" s="21" customFormat="1" ht="18">
      <c r="A22" s="34" t="s">
        <v>45</v>
      </c>
      <c r="B22" s="35" t="s">
        <v>65</v>
      </c>
      <c r="C22" s="35" t="s">
        <v>72</v>
      </c>
      <c r="D22" s="36">
        <v>0</v>
      </c>
      <c r="E22" s="36" t="str">
        <f>1+1*D22&amp;"'"</f>
        <v>1'</v>
      </c>
      <c r="F22" s="36" t="str">
        <f>1+1*D22&amp;" hours"</f>
        <v>1 hours</v>
      </c>
      <c r="G22" s="36">
        <v>100</v>
      </c>
      <c r="H22" s="36">
        <v>50</v>
      </c>
      <c r="I22" s="38">
        <f>H22+(D22*3)+('Character Record'!N2-15)</f>
        <v>35</v>
      </c>
      <c r="J22" s="37" t="s">
        <v>34</v>
      </c>
      <c r="L22" s="2"/>
    </row>
    <row r="23" spans="1:12" s="21" customFormat="1" ht="18">
      <c r="A23" s="34" t="s">
        <v>46</v>
      </c>
      <c r="B23" s="35" t="s">
        <v>64</v>
      </c>
      <c r="C23" s="35" t="str">
        <f>"+"&amp;5+D23*3&amp;"% reaction rolls"</f>
        <v>+5% reaction rolls</v>
      </c>
      <c r="D23" s="36">
        <v>0</v>
      </c>
      <c r="E23" s="36" t="s">
        <v>26</v>
      </c>
      <c r="F23" s="36" t="str">
        <f>10+10*D23&amp;" minutes"</f>
        <v>10 minutes</v>
      </c>
      <c r="G23" s="36">
        <v>200</v>
      </c>
      <c r="H23" s="36">
        <v>15</v>
      </c>
      <c r="I23" s="38">
        <f>H23+(D23*3)+('Character Record'!N2-15)</f>
        <v>0</v>
      </c>
      <c r="J23" s="37" t="s">
        <v>34</v>
      </c>
      <c r="L23" s="2"/>
    </row>
    <row r="24" spans="1:12" s="21" customFormat="1" ht="18">
      <c r="A24" s="34" t="s">
        <v>61</v>
      </c>
      <c r="B24" s="35" t="s">
        <v>73</v>
      </c>
      <c r="C24" s="35" t="str">
        <f>"+"&amp;30+(D24*3)&amp;"% MR vs. General Celestial"</f>
        <v>+30% MR vs. General Celestial</v>
      </c>
      <c r="D24" s="36">
        <v>0</v>
      </c>
      <c r="E24" s="36" t="str">
        <f>25+25*D24&amp;"'"</f>
        <v>25'</v>
      </c>
      <c r="F24" s="36" t="str">
        <f>"D+"&amp;5+D24&amp;" minutes"</f>
        <v>D+5 minutes</v>
      </c>
      <c r="G24" s="36">
        <v>100</v>
      </c>
      <c r="H24" s="36">
        <v>40</v>
      </c>
      <c r="I24" s="38">
        <f>H24+(D24*3)+('Character Record'!N2-15)</f>
        <v>25</v>
      </c>
      <c r="J24" s="37" t="s">
        <v>23</v>
      </c>
      <c r="L24" s="2"/>
    </row>
    <row r="25" spans="1:12" s="21" customFormat="1" ht="18">
      <c r="A25" s="34" t="s">
        <v>62</v>
      </c>
      <c r="B25" s="35" t="s">
        <v>74</v>
      </c>
      <c r="C25" s="35" t="str">
        <f>"+"&amp;30+(D25*3)&amp;"% MR vs. Special Celestial"</f>
        <v>+30% MR vs. Special Celestial</v>
      </c>
      <c r="D25" s="36">
        <v>0</v>
      </c>
      <c r="E25" s="36" t="str">
        <f>25+25*D25&amp;"'"</f>
        <v>25'</v>
      </c>
      <c r="F25" s="36" t="str">
        <f>"D+"&amp;5+D25&amp;" minutes"</f>
        <v>D+5 minutes</v>
      </c>
      <c r="G25" s="36">
        <v>200</v>
      </c>
      <c r="H25" s="36">
        <v>40</v>
      </c>
      <c r="I25" s="38">
        <f>H25+(D25*3)+('Character Record'!N2-15)</f>
        <v>25</v>
      </c>
      <c r="J25" s="37" t="s">
        <v>23</v>
      </c>
      <c r="L25" s="2"/>
    </row>
    <row r="26" spans="1:12" s="21" customFormat="1" ht="18">
      <c r="A26" s="34" t="s">
        <v>40</v>
      </c>
      <c r="B26" s="35" t="s">
        <v>66</v>
      </c>
      <c r="C26" s="35" t="s">
        <v>69</v>
      </c>
      <c r="D26" s="36">
        <v>0</v>
      </c>
      <c r="E26" s="36" t="s">
        <v>26</v>
      </c>
      <c r="F26" s="36" t="s">
        <v>27</v>
      </c>
      <c r="G26" s="36">
        <v>150</v>
      </c>
      <c r="H26" s="38">
        <f>'Character Record'!N2+('Magic Record'!D26*4)</f>
        <v>0</v>
      </c>
      <c r="I26" s="38">
        <f>H26+(D26*3)+('Character Record'!N2-15)</f>
        <v>-15</v>
      </c>
      <c r="J26" s="37" t="s">
        <v>34</v>
      </c>
      <c r="L26" s="2"/>
    </row>
    <row r="27" spans="1:12" s="21" customFormat="1" ht="18">
      <c r="A27" s="34" t="s">
        <v>44</v>
      </c>
      <c r="B27" s="35" t="s">
        <v>67</v>
      </c>
      <c r="C27" s="35" t="str">
        <f>+"Summon and bind "&amp;1+(ROUNDUP(D27/5,0))&amp;" dark creatures"</f>
        <v>Summon and bind 1 dark creatures</v>
      </c>
      <c r="D27" s="36">
        <v>0</v>
      </c>
      <c r="E27" s="36" t="s">
        <v>26</v>
      </c>
      <c r="F27" s="50" t="s">
        <v>70</v>
      </c>
      <c r="G27" s="36">
        <v>200</v>
      </c>
      <c r="H27" s="38">
        <v>20</v>
      </c>
      <c r="I27" s="38">
        <f>H27+(D27*4)+('Character Record'!N2-15)</f>
        <v>5</v>
      </c>
      <c r="J27" s="37" t="s">
        <v>34</v>
      </c>
      <c r="L27" s="2"/>
    </row>
    <row r="28" spans="1:12" s="21" customFormat="1" ht="18">
      <c r="A28" s="34" t="s">
        <v>48</v>
      </c>
      <c r="B28" s="35" t="s">
        <v>41</v>
      </c>
      <c r="C28" s="35" t="str">
        <f>"+"&amp;D28&amp;" MR and +"&amp;ROUNDDOWN(D28/5,0)&amp;" MA"</f>
        <v>+0 MR and +0 MA</v>
      </c>
      <c r="D28" s="36">
        <v>0</v>
      </c>
      <c r="E28" s="36" t="s">
        <v>26</v>
      </c>
      <c r="F28" s="36" t="str">
        <f>4+4*D28&amp;" hours"</f>
        <v>4 hours</v>
      </c>
      <c r="G28" s="36">
        <v>200</v>
      </c>
      <c r="H28" s="38">
        <f>'Character Record'!N2+'Character Record'!P2+('Magic Record'!D28*3)</f>
        <v>0</v>
      </c>
      <c r="I28" s="38">
        <f>H28+(D28*3)+('Character Record'!N2-15)</f>
        <v>-15</v>
      </c>
      <c r="J28" s="37" t="s">
        <v>34</v>
      </c>
      <c r="L28" s="2"/>
    </row>
    <row r="29" spans="1:12" s="21" customFormat="1" ht="18">
      <c r="A29" s="34" t="s">
        <v>170</v>
      </c>
      <c r="B29" s="35" t="s">
        <v>185</v>
      </c>
      <c r="C29" s="35" t="str">
        <f>IF(C19="U"," ","Cures "&amp;1+(ROUNDUP(D29/2,0))&amp;" points of Fatigue or Endurance.")</f>
        <v>Cures 1 points of Fatigue or Endurance.</v>
      </c>
      <c r="D29" s="36">
        <v>0</v>
      </c>
      <c r="E29" s="36" t="s">
        <v>186</v>
      </c>
      <c r="F29" s="36" t="s">
        <v>27</v>
      </c>
      <c r="G29" s="36">
        <v>200</v>
      </c>
      <c r="H29" s="36">
        <v>40</v>
      </c>
      <c r="I29" s="38">
        <f>H29+(D29*3)+('Character Record'!N2-15)</f>
        <v>25</v>
      </c>
      <c r="J29" s="37" t="s">
        <v>34</v>
      </c>
      <c r="L29" s="2"/>
    </row>
    <row r="30" spans="1:12" s="21" customFormat="1" ht="18">
      <c r="A30" s="34" t="s">
        <v>171</v>
      </c>
      <c r="B30" s="35" t="s">
        <v>187</v>
      </c>
      <c r="C30" s="35" t="str">
        <f>IF(D30="U"," ","Strike Chance= +"&amp;1+D30&amp;"     Damage= +"&amp;1+(ROUNDUP(D30/3,0)))</f>
        <v>Strike Chance= +1     Damage= +1</v>
      </c>
      <c r="D30" s="36">
        <v>0</v>
      </c>
      <c r="E30" s="36" t="str">
        <f>IF(D30="U"," ",15+(5*D30)&amp;"ft")</f>
        <v>15ft</v>
      </c>
      <c r="F30" s="36" t="str">
        <f>5+1*D30&amp;" min"</f>
        <v>5 min</v>
      </c>
      <c r="G30" s="36">
        <v>250</v>
      </c>
      <c r="H30" s="36">
        <v>30</v>
      </c>
      <c r="I30" s="38">
        <f>H30+(D30*3)+('Character Record'!N2-15)</f>
        <v>15</v>
      </c>
      <c r="J30" s="37" t="s">
        <v>34</v>
      </c>
      <c r="L30" s="2"/>
    </row>
    <row r="31" spans="1:12" s="21" customFormat="1" ht="18">
      <c r="A31" s="34" t="s">
        <v>172</v>
      </c>
      <c r="B31" s="35" t="s">
        <v>188</v>
      </c>
      <c r="C31" s="35" t="str">
        <f>IF(D31="U"," ","D-4+"&amp;D31&amp;" Points of Damage")</f>
        <v>D-4+0 Points of Damage</v>
      </c>
      <c r="D31" s="36">
        <v>0</v>
      </c>
      <c r="E31" s="36" t="str">
        <f>40+15*D31&amp;"'"</f>
        <v>40'</v>
      </c>
      <c r="F31" s="36" t="s">
        <v>27</v>
      </c>
      <c r="G31" s="36">
        <v>200</v>
      </c>
      <c r="H31" s="36">
        <v>35</v>
      </c>
      <c r="I31" s="38">
        <f>H31+(D31*3)+('Character Record'!N2-15)</f>
        <v>20</v>
      </c>
      <c r="J31" s="37" t="s">
        <v>23</v>
      </c>
      <c r="L31" s="2"/>
    </row>
    <row r="32" spans="1:12" s="21" customFormat="1" ht="18">
      <c r="A32" s="34" t="s">
        <v>173</v>
      </c>
      <c r="B32" s="35" t="s">
        <v>189</v>
      </c>
      <c r="C32" s="35" t="str">
        <f>IF(D32="U"," ","25 Foot Diameter     Damage D-4+"&amp;D32)</f>
        <v>25 Foot Diameter     Damage D-4+3</v>
      </c>
      <c r="D32" s="36">
        <v>3</v>
      </c>
      <c r="E32" s="36" t="str">
        <f>60+15*D32&amp;"'"</f>
        <v>105'</v>
      </c>
      <c r="F32" s="36" t="s">
        <v>190</v>
      </c>
      <c r="G32" s="36">
        <v>200</v>
      </c>
      <c r="H32" s="36">
        <v>10</v>
      </c>
      <c r="I32" s="38">
        <f>H32+(D32*3)+('Character Record'!N2-15)</f>
        <v>4</v>
      </c>
      <c r="J32" s="37" t="s">
        <v>23</v>
      </c>
      <c r="L32" s="2"/>
    </row>
    <row r="33" spans="1:12" s="21" customFormat="1" ht="18">
      <c r="A33" s="34" t="s">
        <v>174</v>
      </c>
      <c r="B33" s="35" t="s">
        <v>191</v>
      </c>
      <c r="C33" s="35" t="str">
        <f>IF(D33="U"," ","Speed equals "&amp;30+D33&amp;" miles per hour.")</f>
        <v>Speed equals 30 miles per hour.</v>
      </c>
      <c r="D33" s="36">
        <v>0</v>
      </c>
      <c r="E33" s="36" t="str">
        <f>10+10*D33&amp;"'"</f>
        <v>10'</v>
      </c>
      <c r="F33" s="36" t="str">
        <f>30+30*D33&amp;" min"</f>
        <v>30 min</v>
      </c>
      <c r="G33" s="36">
        <v>250</v>
      </c>
      <c r="H33" s="36">
        <v>25</v>
      </c>
      <c r="I33" s="38">
        <f>H33+(D33*3)+('Character Record'!N2-15)</f>
        <v>10</v>
      </c>
      <c r="J33" s="37" t="s">
        <v>34</v>
      </c>
      <c r="L33" s="2"/>
    </row>
    <row r="34" spans="1:12" s="21" customFormat="1" ht="18">
      <c r="A34" s="34" t="s">
        <v>175</v>
      </c>
      <c r="B34" s="35" t="s">
        <v>192</v>
      </c>
      <c r="C34" s="35" t="str">
        <f>IF(D34="U"," ","D-2+"&amp;D34&amp;" Damage. See Spell for Details")</f>
        <v>D-2+0 Damage. See Spell for Details</v>
      </c>
      <c r="D34" s="36">
        <v>0</v>
      </c>
      <c r="E34" s="36" t="str">
        <f>30+15*D34&amp;"'"</f>
        <v>30'</v>
      </c>
      <c r="F34" s="36" t="str">
        <f>15+15*D34&amp;" min"</f>
        <v>15 min</v>
      </c>
      <c r="G34" s="36">
        <v>250</v>
      </c>
      <c r="H34" s="36">
        <v>25</v>
      </c>
      <c r="I34" s="38">
        <f>H34+(D34*3)+('Character Record'!N2-15)</f>
        <v>10</v>
      </c>
      <c r="J34" s="37" t="s">
        <v>23</v>
      </c>
      <c r="L34" s="2"/>
    </row>
    <row r="35" spans="1:12" s="21" customFormat="1" ht="18">
      <c r="A35" s="34" t="s">
        <v>176</v>
      </c>
      <c r="B35" s="35" t="s">
        <v>193</v>
      </c>
      <c r="C35" s="35" t="str">
        <f>IF(D35="U"," ","Fear table may be modified by "&amp;D35&amp;"%")</f>
        <v>Fear table may be modified by 10%</v>
      </c>
      <c r="D35" s="36">
        <v>10</v>
      </c>
      <c r="E35" s="36" t="str">
        <f>15+15*D35&amp;"'"</f>
        <v>165'</v>
      </c>
      <c r="F35" s="36" t="str">
        <f>15+15*D35&amp;" sec"</f>
        <v>165 sec</v>
      </c>
      <c r="G35" s="36">
        <v>350</v>
      </c>
      <c r="H35" s="36">
        <v>20</v>
      </c>
      <c r="I35" s="38">
        <f>H35+(D35*3)+('Character Record'!N2-15)</f>
        <v>35</v>
      </c>
      <c r="J35" s="37" t="s">
        <v>194</v>
      </c>
      <c r="L35" s="2"/>
    </row>
    <row r="36" spans="1:12" s="21" customFormat="1" ht="18">
      <c r="A36" s="34" t="s">
        <v>177</v>
      </c>
      <c r="B36" s="35" t="s">
        <v>195</v>
      </c>
      <c r="C36" s="35" t="s">
        <v>196</v>
      </c>
      <c r="D36" s="36">
        <v>0</v>
      </c>
      <c r="E36" s="36" t="str">
        <f>60+15*D36&amp;"'"</f>
        <v>60'</v>
      </c>
      <c r="F36" s="36" t="str">
        <f>1+1*D36&amp;" min"</f>
        <v>1 min</v>
      </c>
      <c r="G36" s="36">
        <v>450</v>
      </c>
      <c r="H36" s="36">
        <v>2</v>
      </c>
      <c r="I36" s="38">
        <f>H36+(D36*3)+('Character Record'!N2-15)</f>
        <v>-13</v>
      </c>
      <c r="J36" s="37" t="s">
        <v>194</v>
      </c>
      <c r="L36" s="2"/>
    </row>
    <row r="37" spans="1:12" s="21" customFormat="1" ht="18">
      <c r="A37" s="34" t="s">
        <v>178</v>
      </c>
      <c r="B37" s="35" t="s">
        <v>197</v>
      </c>
      <c r="C37" s="35" t="s">
        <v>198</v>
      </c>
      <c r="D37" s="36">
        <v>0</v>
      </c>
      <c r="E37" s="36" t="str">
        <f>30+10*D37&amp;"'"</f>
        <v>30'</v>
      </c>
      <c r="F37" s="36" t="s">
        <v>27</v>
      </c>
      <c r="G37" s="36">
        <v>500</v>
      </c>
      <c r="H37" s="36">
        <v>1</v>
      </c>
      <c r="I37" s="38">
        <f>H37+(D37*3)+('Character Record'!N2-15)</f>
        <v>-14</v>
      </c>
      <c r="J37" s="37" t="s">
        <v>194</v>
      </c>
      <c r="L37" s="2"/>
    </row>
    <row r="38" spans="1:12" s="21" customFormat="1" ht="18">
      <c r="A38" s="34" t="s">
        <v>179</v>
      </c>
      <c r="B38" s="35" t="s">
        <v>199</v>
      </c>
      <c r="C38" s="35" t="str">
        <f>IF(D38="U"," ","Area "&amp;1+(2*(ROUNDDOWN(D38/4,0)))&amp;" hex      Damage D+"&amp;10+ROUNDDOWN(D38/2,0))</f>
        <v>Area 11 hex      Damage D+20</v>
      </c>
      <c r="D38" s="36">
        <v>20</v>
      </c>
      <c r="E38" s="36" t="str">
        <f>75+15*D38&amp;"'"</f>
        <v>375'</v>
      </c>
      <c r="F38" s="36" t="s">
        <v>190</v>
      </c>
      <c r="G38" s="36">
        <v>500</v>
      </c>
      <c r="H38" s="38">
        <v>5</v>
      </c>
      <c r="I38" s="38">
        <f>H38+(D38*3)+('Character Record'!N2-15)</f>
        <v>50</v>
      </c>
      <c r="J38" s="37" t="s">
        <v>23</v>
      </c>
      <c r="L38" s="2"/>
    </row>
    <row r="39" spans="1:12" s="21" customFormat="1" ht="18">
      <c r="A39" s="34" t="s">
        <v>180</v>
      </c>
      <c r="B39" s="35" t="s">
        <v>200</v>
      </c>
      <c r="C39" s="35" t="str">
        <f>IF(D39="U"," ","Damage D+"&amp;12+(4*D39)&amp;" in surounding hexes D+"&amp;2+D39)</f>
        <v>Damage D+12 in surounding hexes D+2</v>
      </c>
      <c r="D39" s="36">
        <v>0</v>
      </c>
      <c r="E39" s="36" t="str">
        <f>75+15*D39&amp;"'"</f>
        <v>75'</v>
      </c>
      <c r="F39" s="36" t="s">
        <v>190</v>
      </c>
      <c r="G39" s="36">
        <v>500</v>
      </c>
      <c r="H39" s="36">
        <v>1</v>
      </c>
      <c r="I39" s="38">
        <f>H39+(D39*3)+('Character Record'!N2-15)</f>
        <v>-14</v>
      </c>
      <c r="J39" s="37" t="s">
        <v>23</v>
      </c>
      <c r="L39" s="2"/>
    </row>
    <row r="40" spans="1:12" s="21" customFormat="1" ht="18">
      <c r="A40" s="34" t="s">
        <v>181</v>
      </c>
      <c r="B40" s="35" t="s">
        <v>201</v>
      </c>
      <c r="C40" s="35" t="str">
        <f>IF(D40="U"," ","D-2+"&amp;D40&amp;" Damage. See Spell for Details")</f>
        <v>D-2+0 Damage. See Spell for Details</v>
      </c>
      <c r="D40" s="36">
        <v>0</v>
      </c>
      <c r="E40" s="36" t="str">
        <f>30+5*D40&amp;"'"</f>
        <v>30'</v>
      </c>
      <c r="F40" s="36" t="s">
        <v>27</v>
      </c>
      <c r="G40" s="36">
        <v>350</v>
      </c>
      <c r="H40" s="36">
        <v>5</v>
      </c>
      <c r="I40" s="38">
        <f>H40+(D40*3)+('Character Record'!N2-15)</f>
        <v>-10</v>
      </c>
      <c r="J40" s="37" t="s">
        <v>23</v>
      </c>
      <c r="L40" s="2"/>
    </row>
    <row r="41" spans="1:12" s="21" customFormat="1" ht="18">
      <c r="A41" s="34" t="s">
        <v>182</v>
      </c>
      <c r="B41" s="35" t="s">
        <v>202</v>
      </c>
      <c r="C41" s="35" t="str">
        <f>IF(D41="U"," ","Adept may travel "&amp;5+D41&amp;" miles.")</f>
        <v>Adept may travel 5 miles.</v>
      </c>
      <c r="D41" s="36">
        <v>0</v>
      </c>
      <c r="E41" s="36" t="s">
        <v>37</v>
      </c>
      <c r="F41" s="36" t="s">
        <v>27</v>
      </c>
      <c r="G41" s="36">
        <v>550</v>
      </c>
      <c r="H41" s="36">
        <v>1</v>
      </c>
      <c r="I41" s="38">
        <f>H41+(D41*3)+('Character Record'!N2-15)</f>
        <v>-14</v>
      </c>
      <c r="J41" s="37" t="s">
        <v>34</v>
      </c>
      <c r="L41" s="2"/>
    </row>
    <row r="42" spans="1:12" s="21" customFormat="1" ht="18">
      <c r="A42" s="34" t="s">
        <v>183</v>
      </c>
      <c r="B42" s="35" t="s">
        <v>203</v>
      </c>
      <c r="C42" s="185" t="str">
        <f>IF(D42="U"," ","Damage D+"&amp;100+(100*D42)&amp;" in surounding hexes D+"&amp;50+D42)</f>
        <v>Damage D+2100 in surounding hexes D+70</v>
      </c>
      <c r="D42" s="36">
        <v>20</v>
      </c>
      <c r="E42" s="36" t="str">
        <f>150+150*D42&amp;"'"</f>
        <v>3150'</v>
      </c>
      <c r="F42" s="36" t="s">
        <v>190</v>
      </c>
      <c r="G42" s="36">
        <v>1500</v>
      </c>
      <c r="H42" s="38">
        <v>1</v>
      </c>
      <c r="I42" s="38">
        <f>H42+(D42*3)+('Character Record'!N2-15)</f>
        <v>46</v>
      </c>
      <c r="J42" s="37" t="s">
        <v>23</v>
      </c>
      <c r="L42" s="2"/>
    </row>
    <row r="43" spans="1:12" s="21" customFormat="1" ht="18">
      <c r="A43" s="34" t="s">
        <v>184</v>
      </c>
      <c r="B43" s="35" t="s">
        <v>204</v>
      </c>
      <c r="C43" s="35" t="s">
        <v>205</v>
      </c>
      <c r="D43" s="36">
        <v>0</v>
      </c>
      <c r="E43" s="36" t="s">
        <v>206</v>
      </c>
      <c r="F43" s="36" t="str">
        <f>10+10*D43&amp;" minutes"</f>
        <v>10 minutes</v>
      </c>
      <c r="G43" s="36">
        <v>1000</v>
      </c>
      <c r="H43" s="36">
        <v>1</v>
      </c>
      <c r="I43" s="38">
        <f>H43+(D43*3)+('Character Record'!N2-15)</f>
        <v>-14</v>
      </c>
      <c r="J43" s="37" t="s">
        <v>34</v>
      </c>
      <c r="L43" s="2"/>
    </row>
    <row r="44" spans="1:12" s="21" customFormat="1" ht="18">
      <c r="A44" s="34"/>
      <c r="B44" s="35"/>
      <c r="C44" s="35"/>
      <c r="D44" s="36"/>
      <c r="E44" s="36"/>
      <c r="F44" s="36"/>
      <c r="G44" s="36"/>
      <c r="H44" s="36"/>
      <c r="I44" s="38">
        <f>+IF(D44&lt;&gt;"",+H44+D44*3+#REF!-15,"")</f>
      </c>
      <c r="J44" s="37"/>
      <c r="L44" s="2"/>
    </row>
    <row r="45" spans="1:12" s="21" customFormat="1" ht="18">
      <c r="A45" s="34"/>
      <c r="B45" s="35"/>
      <c r="C45" s="35"/>
      <c r="D45" s="36"/>
      <c r="E45" s="36"/>
      <c r="F45" s="36"/>
      <c r="G45" s="36"/>
      <c r="H45" s="36"/>
      <c r="I45" s="38">
        <f>+IF(D45&lt;&gt;"",+H45+D45*3+#REF!-15,"")</f>
      </c>
      <c r="J45" s="37"/>
      <c r="L45" s="2"/>
    </row>
    <row r="46" spans="1:12" s="21" customFormat="1" ht="18">
      <c r="A46" s="34"/>
      <c r="B46" s="35"/>
      <c r="C46" s="35"/>
      <c r="D46" s="36"/>
      <c r="E46" s="36"/>
      <c r="F46" s="36"/>
      <c r="G46" s="36"/>
      <c r="H46" s="36"/>
      <c r="I46" s="38">
        <f>+IF(D46&lt;&gt;"",+H46+D46*3+#REF!-15,"")</f>
      </c>
      <c r="J46" s="37"/>
      <c r="L46" s="2"/>
    </row>
    <row r="47" spans="1:12" s="21" customFormat="1" ht="18">
      <c r="A47" s="34"/>
      <c r="B47" s="35"/>
      <c r="C47" s="35"/>
      <c r="D47" s="36"/>
      <c r="E47" s="36"/>
      <c r="F47" s="36"/>
      <c r="G47" s="36"/>
      <c r="H47" s="36"/>
      <c r="I47" s="38">
        <f>+IF(D47&lt;&gt;"",+H47+D47*3+#REF!-15,"")</f>
      </c>
      <c r="J47" s="37"/>
      <c r="L47" s="2"/>
    </row>
    <row r="48" spans="1:12" s="21" customFormat="1" ht="18">
      <c r="A48" s="34"/>
      <c r="B48" s="35"/>
      <c r="C48" s="35"/>
      <c r="D48" s="36"/>
      <c r="E48" s="36"/>
      <c r="F48" s="36"/>
      <c r="G48" s="36"/>
      <c r="H48" s="36"/>
      <c r="I48" s="38">
        <f>+IF(D48&lt;&gt;"",+H48+D48*3+#REF!-15,"")</f>
      </c>
      <c r="J48" s="37"/>
      <c r="L48" s="2"/>
    </row>
    <row r="49" spans="1:12" s="21" customFormat="1" ht="18">
      <c r="A49" s="22"/>
      <c r="B49" s="23"/>
      <c r="C49" s="23"/>
      <c r="D49" s="22"/>
      <c r="E49" s="22"/>
      <c r="F49" s="24" t="s">
        <v>16</v>
      </c>
      <c r="G49" s="22"/>
      <c r="H49" s="22"/>
      <c r="I49" s="22"/>
      <c r="J49" s="22"/>
      <c r="L49" s="30"/>
    </row>
    <row r="50" spans="1:12" s="21" customFormat="1" ht="18">
      <c r="A50" s="21" t="s">
        <v>20</v>
      </c>
      <c r="F50" s="24" t="s">
        <v>3</v>
      </c>
      <c r="L50" s="26"/>
    </row>
    <row r="51" spans="1:12" s="21" customFormat="1" ht="18">
      <c r="A51" s="21" t="s">
        <v>21</v>
      </c>
      <c r="F51" s="24" t="s">
        <v>17</v>
      </c>
      <c r="L51" s="27"/>
    </row>
    <row r="52" ht="18">
      <c r="L52" s="28"/>
    </row>
    <row r="53" spans="6:12" ht="18">
      <c r="F53" s="25" t="s">
        <v>18</v>
      </c>
      <c r="L53" s="28"/>
    </row>
    <row r="54" spans="6:12" ht="18.75" thickBot="1">
      <c r="F54" s="25" t="s">
        <v>4</v>
      </c>
      <c r="L54" s="29"/>
    </row>
    <row r="55" ht="15.75" thickTop="1"/>
  </sheetData>
  <mergeCells count="6">
    <mergeCell ref="D9:J9"/>
    <mergeCell ref="D10:J10"/>
    <mergeCell ref="D5:J5"/>
    <mergeCell ref="D6:J6"/>
    <mergeCell ref="D7:J7"/>
    <mergeCell ref="D8:J8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75" zoomScaleNormal="75" workbookViewId="0" topLeftCell="A1">
      <selection activeCell="C26" sqref="C26"/>
    </sheetView>
  </sheetViews>
  <sheetFormatPr defaultColWidth="8.88671875" defaultRowHeight="15"/>
  <cols>
    <col min="1" max="1" width="8.4453125" style="0" customWidth="1"/>
    <col min="2" max="2" width="15.6640625" style="0" customWidth="1"/>
    <col min="3" max="3" width="21.4453125" style="0" customWidth="1"/>
    <col min="4" max="4" width="4.77734375" style="0" customWidth="1"/>
    <col min="5" max="5" width="7.445312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5546875" style="0" customWidth="1"/>
    <col min="10" max="10" width="5.4453125" style="0" customWidth="1"/>
    <col min="11" max="11" width="1.77734375" style="0" customWidth="1"/>
    <col min="12" max="12" width="20.5546875" style="0" customWidth="1"/>
  </cols>
  <sheetData>
    <row r="1" spans="1:10" ht="30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5.75">
      <c r="A2" s="9" t="s">
        <v>161</v>
      </c>
      <c r="B2" s="10"/>
      <c r="C2" s="10"/>
      <c r="D2" s="1"/>
      <c r="E2" s="280"/>
      <c r="F2" s="280"/>
      <c r="G2" s="280"/>
      <c r="H2" s="281"/>
      <c r="I2" s="281"/>
      <c r="J2" s="282"/>
    </row>
    <row r="3" spans="1:10" ht="16.5" thickBot="1">
      <c r="A3" s="178"/>
      <c r="B3" s="179"/>
      <c r="C3" s="180"/>
      <c r="D3" s="43"/>
      <c r="E3" s="180"/>
      <c r="F3" s="181"/>
      <c r="G3" s="43"/>
      <c r="H3" s="180"/>
      <c r="I3" s="180"/>
      <c r="J3" s="182"/>
    </row>
    <row r="4" spans="1:10" ht="15.75">
      <c r="A4" s="283"/>
      <c r="B4" s="284"/>
      <c r="C4" s="284"/>
      <c r="D4" s="284"/>
      <c r="E4" s="284"/>
      <c r="F4" s="284"/>
      <c r="G4" s="284"/>
      <c r="H4" s="284"/>
      <c r="I4" s="284"/>
      <c r="J4" s="285"/>
    </row>
    <row r="5" spans="1:10" ht="15.75">
      <c r="A5" s="286" t="s">
        <v>162</v>
      </c>
      <c r="B5" s="287"/>
      <c r="C5" s="287"/>
      <c r="D5" s="287"/>
      <c r="E5" s="287"/>
      <c r="F5" s="287"/>
      <c r="G5" s="287"/>
      <c r="H5" s="287"/>
      <c r="I5" s="287"/>
      <c r="J5" s="288"/>
    </row>
    <row r="6" spans="1:10" ht="15.75">
      <c r="A6" s="183" t="s">
        <v>163</v>
      </c>
      <c r="B6" s="17" t="s">
        <v>10</v>
      </c>
      <c r="C6" s="17" t="s">
        <v>11</v>
      </c>
      <c r="D6" s="18" t="s">
        <v>12</v>
      </c>
      <c r="E6" s="18" t="s">
        <v>15</v>
      </c>
      <c r="F6" s="18" t="s">
        <v>42</v>
      </c>
      <c r="G6" s="18" t="s">
        <v>112</v>
      </c>
      <c r="H6" s="18" t="s">
        <v>14</v>
      </c>
      <c r="I6" s="18" t="s">
        <v>164</v>
      </c>
      <c r="J6" s="19" t="s">
        <v>165</v>
      </c>
    </row>
    <row r="7" spans="1:10" ht="15">
      <c r="A7" s="184"/>
      <c r="B7" s="185"/>
      <c r="C7" s="185"/>
      <c r="D7" s="36"/>
      <c r="E7" s="36"/>
      <c r="F7" s="186"/>
      <c r="G7" s="36"/>
      <c r="H7" s="36"/>
      <c r="I7" s="38"/>
      <c r="J7" s="37"/>
    </row>
    <row r="8" spans="1:10" ht="15">
      <c r="A8" s="184"/>
      <c r="B8" s="185"/>
      <c r="C8" s="185"/>
      <c r="D8" s="36"/>
      <c r="E8" s="36"/>
      <c r="F8" s="186"/>
      <c r="G8" s="36"/>
      <c r="H8" s="36"/>
      <c r="I8" s="38"/>
      <c r="J8" s="37"/>
    </row>
    <row r="9" spans="1:10" ht="15">
      <c r="A9" s="184"/>
      <c r="B9" s="185"/>
      <c r="C9" s="185"/>
      <c r="D9" s="36"/>
      <c r="E9" s="36"/>
      <c r="F9" s="186"/>
      <c r="G9" s="36"/>
      <c r="H9" s="36"/>
      <c r="I9" s="38"/>
      <c r="J9" s="37"/>
    </row>
    <row r="10" spans="1:12" ht="18">
      <c r="A10" s="184"/>
      <c r="B10" s="185"/>
      <c r="C10" s="185"/>
      <c r="D10" s="36"/>
      <c r="E10" s="36"/>
      <c r="F10" s="186"/>
      <c r="G10" s="36"/>
      <c r="H10" s="36"/>
      <c r="I10" s="38"/>
      <c r="J10" s="37"/>
      <c r="L10" s="15" t="s">
        <v>1</v>
      </c>
    </row>
    <row r="11" spans="1:12" ht="18">
      <c r="A11" s="184"/>
      <c r="B11" s="185"/>
      <c r="C11" s="185"/>
      <c r="D11" s="36"/>
      <c r="E11" s="36"/>
      <c r="F11" s="36"/>
      <c r="G11" s="36"/>
      <c r="H11" s="36"/>
      <c r="I11" s="38"/>
      <c r="J11" s="37"/>
      <c r="L11" s="20" t="s">
        <v>2</v>
      </c>
    </row>
    <row r="12" spans="1:12" s="21" customFormat="1" ht="18">
      <c r="A12" s="184"/>
      <c r="B12" s="185"/>
      <c r="C12" s="185"/>
      <c r="D12" s="36"/>
      <c r="E12" s="36"/>
      <c r="F12" s="36"/>
      <c r="G12" s="36"/>
      <c r="H12" s="36"/>
      <c r="I12" s="38"/>
      <c r="J12" s="37"/>
      <c r="L12" s="2"/>
    </row>
    <row r="13" spans="1:12" s="21" customFormat="1" ht="18">
      <c r="A13" s="184"/>
      <c r="B13" s="185"/>
      <c r="C13" s="185"/>
      <c r="D13" s="36"/>
      <c r="E13" s="36"/>
      <c r="F13" s="186"/>
      <c r="G13" s="36"/>
      <c r="H13" s="36"/>
      <c r="I13" s="38"/>
      <c r="J13" s="37"/>
      <c r="L13" s="2"/>
    </row>
    <row r="14" spans="1:12" s="21" customFormat="1" ht="18">
      <c r="A14" s="184"/>
      <c r="B14" s="185"/>
      <c r="C14" s="185"/>
      <c r="D14" s="36"/>
      <c r="E14" s="36"/>
      <c r="F14" s="186"/>
      <c r="G14" s="36"/>
      <c r="H14" s="36"/>
      <c r="I14" s="38"/>
      <c r="J14" s="37"/>
      <c r="L14" s="2"/>
    </row>
    <row r="15" spans="1:12" s="21" customFormat="1" ht="18">
      <c r="A15" s="184"/>
      <c r="B15" s="185"/>
      <c r="C15" s="185"/>
      <c r="D15" s="36"/>
      <c r="E15" s="36"/>
      <c r="F15" s="186"/>
      <c r="G15" s="36"/>
      <c r="H15" s="36"/>
      <c r="I15" s="38"/>
      <c r="J15" s="37"/>
      <c r="L15" s="2"/>
    </row>
    <row r="16" spans="1:12" s="21" customFormat="1" ht="18">
      <c r="A16" s="184"/>
      <c r="B16" s="185"/>
      <c r="C16" s="185"/>
      <c r="D16" s="36"/>
      <c r="E16" s="36"/>
      <c r="F16" s="186"/>
      <c r="G16" s="36"/>
      <c r="H16" s="36"/>
      <c r="I16" s="38"/>
      <c r="J16" s="37"/>
      <c r="L16" s="2"/>
    </row>
    <row r="17" spans="1:12" s="21" customFormat="1" ht="18">
      <c r="A17" s="184"/>
      <c r="B17" s="185"/>
      <c r="C17" s="185"/>
      <c r="D17" s="36"/>
      <c r="E17" s="36"/>
      <c r="F17" s="186"/>
      <c r="G17" s="36"/>
      <c r="H17" s="36"/>
      <c r="I17" s="38"/>
      <c r="J17" s="37"/>
      <c r="L17" s="2"/>
    </row>
    <row r="18" spans="1:12" s="21" customFormat="1" ht="18">
      <c r="A18" s="184"/>
      <c r="B18" s="185"/>
      <c r="C18" s="185"/>
      <c r="D18" s="36"/>
      <c r="E18" s="36"/>
      <c r="F18" s="186"/>
      <c r="G18" s="36"/>
      <c r="H18" s="36"/>
      <c r="I18" s="38"/>
      <c r="J18" s="37"/>
      <c r="L18" s="2"/>
    </row>
    <row r="19" spans="1:15" s="21" customFormat="1" ht="18">
      <c r="A19" s="184"/>
      <c r="B19" s="185"/>
      <c r="C19" s="185"/>
      <c r="D19" s="36"/>
      <c r="E19" s="36"/>
      <c r="F19" s="186"/>
      <c r="G19" s="36"/>
      <c r="H19" s="36"/>
      <c r="I19" s="38"/>
      <c r="J19" s="37"/>
      <c r="L19" s="2"/>
      <c r="O19" s="21" t="s">
        <v>22</v>
      </c>
    </row>
    <row r="20" spans="1:12" s="21" customFormat="1" ht="18">
      <c r="A20" s="184"/>
      <c r="B20" s="185"/>
      <c r="C20" s="185"/>
      <c r="D20" s="36"/>
      <c r="E20" s="36"/>
      <c r="F20" s="186"/>
      <c r="G20" s="36"/>
      <c r="H20" s="36"/>
      <c r="I20" s="38"/>
      <c r="J20" s="37"/>
      <c r="L20" s="2"/>
    </row>
    <row r="21" spans="1:12" s="21" customFormat="1" ht="18">
      <c r="A21" s="184"/>
      <c r="B21" s="185"/>
      <c r="C21" s="185"/>
      <c r="D21" s="36"/>
      <c r="E21" s="36"/>
      <c r="F21" s="186"/>
      <c r="G21" s="36"/>
      <c r="H21" s="36"/>
      <c r="I21" s="38"/>
      <c r="J21" s="37"/>
      <c r="L21" s="2"/>
    </row>
    <row r="22" spans="1:12" s="21" customFormat="1" ht="18">
      <c r="A22" s="184"/>
      <c r="B22" s="185"/>
      <c r="C22" s="185"/>
      <c r="D22" s="36"/>
      <c r="E22" s="36"/>
      <c r="F22" s="186"/>
      <c r="G22" s="36"/>
      <c r="H22" s="36"/>
      <c r="I22" s="38"/>
      <c r="J22" s="37"/>
      <c r="L22" s="2"/>
    </row>
    <row r="23" spans="1:12" s="21" customFormat="1" ht="18">
      <c r="A23" s="184"/>
      <c r="B23" s="185"/>
      <c r="C23" s="185"/>
      <c r="D23" s="36"/>
      <c r="E23" s="36"/>
      <c r="F23" s="186"/>
      <c r="G23" s="36"/>
      <c r="H23" s="38"/>
      <c r="I23" s="38"/>
      <c r="J23" s="37"/>
      <c r="L23" s="2"/>
    </row>
    <row r="24" spans="1:12" s="21" customFormat="1" ht="18">
      <c r="A24" s="184"/>
      <c r="B24" s="185"/>
      <c r="C24" s="185"/>
      <c r="D24" s="36"/>
      <c r="E24" s="36"/>
      <c r="F24" s="186"/>
      <c r="G24" s="36"/>
      <c r="H24" s="36"/>
      <c r="I24" s="38"/>
      <c r="J24" s="37"/>
      <c r="L24" s="2"/>
    </row>
    <row r="25" spans="1:12" s="21" customFormat="1" ht="18">
      <c r="A25" s="184"/>
      <c r="B25" s="185"/>
      <c r="C25" s="185"/>
      <c r="D25" s="36"/>
      <c r="E25" s="36"/>
      <c r="F25" s="186"/>
      <c r="G25" s="36"/>
      <c r="H25" s="36"/>
      <c r="I25" s="38"/>
      <c r="J25" s="37"/>
      <c r="L25" s="2"/>
    </row>
    <row r="26" spans="1:12" s="21" customFormat="1" ht="18">
      <c r="A26" s="184"/>
      <c r="B26" s="185"/>
      <c r="C26" s="185"/>
      <c r="D26" s="36"/>
      <c r="E26" s="36"/>
      <c r="F26" s="186"/>
      <c r="G26" s="36"/>
      <c r="H26" s="36"/>
      <c r="I26" s="38"/>
      <c r="J26" s="37"/>
      <c r="L26" s="2"/>
    </row>
    <row r="27" spans="1:12" s="21" customFormat="1" ht="18">
      <c r="A27" s="184"/>
      <c r="B27" s="35"/>
      <c r="C27" s="35"/>
      <c r="D27" s="36"/>
      <c r="E27" s="36"/>
      <c r="F27" s="36"/>
      <c r="G27" s="36"/>
      <c r="H27" s="36"/>
      <c r="I27" s="38"/>
      <c r="J27" s="37"/>
      <c r="L27" s="2"/>
    </row>
    <row r="28" spans="1:12" s="21" customFormat="1" ht="18">
      <c r="A28" s="184"/>
      <c r="B28" s="185"/>
      <c r="C28" s="185"/>
      <c r="D28" s="36"/>
      <c r="E28" s="36"/>
      <c r="F28" s="186"/>
      <c r="G28" s="36"/>
      <c r="H28" s="36"/>
      <c r="I28" s="187"/>
      <c r="J28" s="37"/>
      <c r="L28" s="2"/>
    </row>
    <row r="29" spans="1:12" s="21" customFormat="1" ht="18">
      <c r="A29" s="184"/>
      <c r="B29" s="185"/>
      <c r="C29" s="185"/>
      <c r="D29" s="36"/>
      <c r="E29" s="36"/>
      <c r="F29" s="186"/>
      <c r="G29" s="36"/>
      <c r="H29" s="36"/>
      <c r="I29" s="38"/>
      <c r="J29" s="37"/>
      <c r="L29" s="2"/>
    </row>
    <row r="30" spans="1:12" s="21" customFormat="1" ht="18.75" thickBot="1">
      <c r="A30" s="188"/>
      <c r="B30" s="189"/>
      <c r="C30" s="189"/>
      <c r="D30" s="190"/>
      <c r="E30" s="190"/>
      <c r="F30" s="191"/>
      <c r="G30" s="190"/>
      <c r="H30" s="190"/>
      <c r="I30" s="192"/>
      <c r="J30" s="193"/>
      <c r="L30" s="2"/>
    </row>
    <row r="31" spans="1:12" s="21" customFormat="1" ht="18">
      <c r="A31" s="289"/>
      <c r="B31" s="290"/>
      <c r="C31" s="290"/>
      <c r="D31" s="290"/>
      <c r="E31" s="290"/>
      <c r="F31" s="290"/>
      <c r="G31" s="290"/>
      <c r="H31" s="290"/>
      <c r="I31" s="290"/>
      <c r="J31" s="291"/>
      <c r="L31" s="2"/>
    </row>
    <row r="32" spans="1:12" s="21" customFormat="1" ht="18">
      <c r="A32" s="292" t="s">
        <v>166</v>
      </c>
      <c r="B32" s="293"/>
      <c r="C32" s="293"/>
      <c r="D32" s="293"/>
      <c r="E32" s="293"/>
      <c r="F32" s="293"/>
      <c r="G32" s="293"/>
      <c r="H32" s="293"/>
      <c r="I32" s="293"/>
      <c r="J32" s="294"/>
      <c r="L32" s="2"/>
    </row>
    <row r="33" spans="1:12" s="21" customFormat="1" ht="18">
      <c r="A33" s="194" t="s">
        <v>167</v>
      </c>
      <c r="B33" s="295"/>
      <c r="C33" s="296"/>
      <c r="D33" s="195" t="s">
        <v>167</v>
      </c>
      <c r="E33" s="196"/>
      <c r="F33" s="297"/>
      <c r="G33" s="298"/>
      <c r="H33" s="298"/>
      <c r="I33" s="298"/>
      <c r="J33" s="299"/>
      <c r="L33" s="2"/>
    </row>
    <row r="34" spans="1:12" s="21" customFormat="1" ht="18">
      <c r="A34" s="194" t="s">
        <v>168</v>
      </c>
      <c r="B34" s="300"/>
      <c r="C34" s="301"/>
      <c r="D34" s="302" t="s">
        <v>168</v>
      </c>
      <c r="E34" s="303"/>
      <c r="F34" s="300"/>
      <c r="G34" s="304"/>
      <c r="H34" s="304"/>
      <c r="I34" s="304"/>
      <c r="J34" s="305"/>
      <c r="L34" s="2"/>
    </row>
    <row r="35" spans="1:12" s="21" customFormat="1" ht="18">
      <c r="A35" s="315"/>
      <c r="B35" s="316"/>
      <c r="C35" s="317"/>
      <c r="D35" s="306"/>
      <c r="E35" s="304"/>
      <c r="F35" s="304"/>
      <c r="G35" s="304"/>
      <c r="H35" s="304"/>
      <c r="I35" s="304"/>
      <c r="J35" s="305"/>
      <c r="L35" s="2"/>
    </row>
    <row r="36" spans="1:12" s="21" customFormat="1" ht="18">
      <c r="A36" s="318"/>
      <c r="B36" s="319"/>
      <c r="C36" s="320"/>
      <c r="D36" s="307"/>
      <c r="E36" s="308"/>
      <c r="F36" s="308"/>
      <c r="G36" s="308"/>
      <c r="H36" s="308"/>
      <c r="I36" s="308"/>
      <c r="J36" s="309"/>
      <c r="L36" s="2"/>
    </row>
    <row r="37" spans="1:12" s="21" customFormat="1" ht="18">
      <c r="A37" s="318"/>
      <c r="B37" s="319"/>
      <c r="C37" s="320"/>
      <c r="D37" s="195" t="s">
        <v>167</v>
      </c>
      <c r="E37" s="196"/>
      <c r="F37" s="297"/>
      <c r="G37" s="298"/>
      <c r="H37" s="298"/>
      <c r="I37" s="298"/>
      <c r="J37" s="299"/>
      <c r="L37" s="2"/>
    </row>
    <row r="38" spans="1:12" s="21" customFormat="1" ht="18">
      <c r="A38" s="318"/>
      <c r="B38" s="319"/>
      <c r="C38" s="320"/>
      <c r="D38" s="302" t="s">
        <v>168</v>
      </c>
      <c r="E38" s="303"/>
      <c r="F38" s="300"/>
      <c r="G38" s="304"/>
      <c r="H38" s="304"/>
      <c r="I38" s="304"/>
      <c r="J38" s="305"/>
      <c r="L38" s="2"/>
    </row>
    <row r="39" spans="1:12" s="21" customFormat="1" ht="18">
      <c r="A39" s="318"/>
      <c r="B39" s="319"/>
      <c r="C39" s="320"/>
      <c r="D39" s="306"/>
      <c r="E39" s="304"/>
      <c r="F39" s="304"/>
      <c r="G39" s="304"/>
      <c r="H39" s="304"/>
      <c r="I39" s="304"/>
      <c r="J39" s="305"/>
      <c r="L39" s="2"/>
    </row>
    <row r="40" spans="1:12" s="21" customFormat="1" ht="18">
      <c r="A40" s="321"/>
      <c r="B40" s="322"/>
      <c r="C40" s="323"/>
      <c r="D40" s="307"/>
      <c r="E40" s="308"/>
      <c r="F40" s="308"/>
      <c r="G40" s="308"/>
      <c r="H40" s="308"/>
      <c r="I40" s="308"/>
      <c r="J40" s="309"/>
      <c r="L40" s="2"/>
    </row>
    <row r="41" spans="1:12" s="21" customFormat="1" ht="18">
      <c r="A41" s="197" t="s">
        <v>167</v>
      </c>
      <c r="B41" s="310"/>
      <c r="C41" s="311"/>
      <c r="D41" s="195" t="s">
        <v>167</v>
      </c>
      <c r="E41" s="196"/>
      <c r="F41" s="312"/>
      <c r="G41" s="313"/>
      <c r="H41" s="313"/>
      <c r="I41" s="313"/>
      <c r="J41" s="314"/>
      <c r="L41" s="2"/>
    </row>
    <row r="42" spans="1:12" s="21" customFormat="1" ht="18">
      <c r="A42" s="327" t="s">
        <v>169</v>
      </c>
      <c r="B42" s="328"/>
      <c r="C42" s="329"/>
      <c r="D42" s="302" t="s">
        <v>168</v>
      </c>
      <c r="E42" s="303"/>
      <c r="F42" s="300"/>
      <c r="G42" s="304"/>
      <c r="H42" s="304"/>
      <c r="I42" s="304"/>
      <c r="J42" s="305"/>
      <c r="L42" s="2"/>
    </row>
    <row r="43" spans="1:12" s="21" customFormat="1" ht="18">
      <c r="A43" s="330"/>
      <c r="B43" s="328"/>
      <c r="C43" s="329"/>
      <c r="D43" s="324"/>
      <c r="E43" s="325"/>
      <c r="F43" s="325"/>
      <c r="G43" s="325"/>
      <c r="H43" s="325"/>
      <c r="I43" s="325"/>
      <c r="J43" s="326"/>
      <c r="L43" s="2"/>
    </row>
    <row r="44" spans="1:12" s="21" customFormat="1" ht="18">
      <c r="A44" s="330"/>
      <c r="B44" s="328"/>
      <c r="C44" s="329"/>
      <c r="D44" s="307"/>
      <c r="E44" s="308"/>
      <c r="F44" s="308"/>
      <c r="G44" s="308"/>
      <c r="H44" s="308"/>
      <c r="I44" s="308"/>
      <c r="J44" s="309"/>
      <c r="L44" s="2"/>
    </row>
    <row r="45" spans="1:12" s="21" customFormat="1" ht="18">
      <c r="A45" s="330"/>
      <c r="B45" s="328"/>
      <c r="C45" s="329"/>
      <c r="D45" s="195" t="s">
        <v>167</v>
      </c>
      <c r="E45" s="196"/>
      <c r="F45" s="297"/>
      <c r="G45" s="298"/>
      <c r="H45" s="298"/>
      <c r="I45" s="298"/>
      <c r="J45" s="299"/>
      <c r="L45" s="2"/>
    </row>
    <row r="46" spans="1:12" s="21" customFormat="1" ht="18">
      <c r="A46" s="330"/>
      <c r="B46" s="328"/>
      <c r="C46" s="329"/>
      <c r="D46" s="302" t="s">
        <v>168</v>
      </c>
      <c r="E46" s="303"/>
      <c r="F46" s="300"/>
      <c r="G46" s="304"/>
      <c r="H46" s="304"/>
      <c r="I46" s="304"/>
      <c r="J46" s="305"/>
      <c r="L46" s="2"/>
    </row>
    <row r="47" spans="1:12" s="21" customFormat="1" ht="18">
      <c r="A47" s="330"/>
      <c r="B47" s="328"/>
      <c r="C47" s="329"/>
      <c r="D47" s="324"/>
      <c r="E47" s="325"/>
      <c r="F47" s="325"/>
      <c r="G47" s="325"/>
      <c r="H47" s="325"/>
      <c r="I47" s="325"/>
      <c r="J47" s="326"/>
      <c r="L47" s="2"/>
    </row>
    <row r="48" spans="1:12" s="21" customFormat="1" ht="18.75" thickBot="1">
      <c r="A48" s="331"/>
      <c r="B48" s="332"/>
      <c r="C48" s="333"/>
      <c r="D48" s="334"/>
      <c r="E48" s="335"/>
      <c r="F48" s="335"/>
      <c r="G48" s="335"/>
      <c r="H48" s="335"/>
      <c r="I48" s="335"/>
      <c r="J48" s="336"/>
      <c r="L48" s="2"/>
    </row>
    <row r="49" spans="1:12" s="21" customFormat="1" ht="18">
      <c r="A49" s="22"/>
      <c r="B49" s="23"/>
      <c r="C49" s="23"/>
      <c r="D49" s="22"/>
      <c r="E49" s="22"/>
      <c r="F49" s="24" t="s">
        <v>16</v>
      </c>
      <c r="G49" s="22"/>
      <c r="H49" s="22"/>
      <c r="I49" s="22"/>
      <c r="J49" s="22"/>
      <c r="L49" s="198">
        <f>SUM(L12:L48)</f>
        <v>0</v>
      </c>
    </row>
    <row r="50" spans="1:12" s="21" customFormat="1" ht="18">
      <c r="A50" s="21" t="s">
        <v>20</v>
      </c>
      <c r="F50" s="24" t="s">
        <v>3</v>
      </c>
      <c r="L50" s="199">
        <f>+'[2]Character Record'!Q53</f>
        <v>1</v>
      </c>
    </row>
    <row r="51" spans="1:12" s="21" customFormat="1" ht="18">
      <c r="A51" s="21" t="s">
        <v>21</v>
      </c>
      <c r="F51" s="24" t="s">
        <v>17</v>
      </c>
      <c r="L51" s="200">
        <f>+L49*L50</f>
        <v>0</v>
      </c>
    </row>
    <row r="52" ht="18">
      <c r="L52" s="201"/>
    </row>
    <row r="53" spans="6:12" ht="18">
      <c r="F53" s="25" t="s">
        <v>18</v>
      </c>
      <c r="L53" s="201">
        <f>+'[2]Character Record'!U53</f>
        <v>0</v>
      </c>
    </row>
    <row r="54" spans="6:12" ht="18.75" thickBot="1">
      <c r="F54" s="25" t="s">
        <v>4</v>
      </c>
      <c r="L54" s="202">
        <f>+L51+L53</f>
        <v>0</v>
      </c>
    </row>
    <row r="55" ht="15.75" thickTop="1"/>
  </sheetData>
  <mergeCells count="31">
    <mergeCell ref="D43:J43"/>
    <mergeCell ref="D44:J44"/>
    <mergeCell ref="A42:C48"/>
    <mergeCell ref="F45:J45"/>
    <mergeCell ref="D46:E46"/>
    <mergeCell ref="F46:J46"/>
    <mergeCell ref="D47:J47"/>
    <mergeCell ref="D48:J48"/>
    <mergeCell ref="D40:J40"/>
    <mergeCell ref="B41:C41"/>
    <mergeCell ref="D42:E42"/>
    <mergeCell ref="F42:J42"/>
    <mergeCell ref="F41:J41"/>
    <mergeCell ref="A35:C40"/>
    <mergeCell ref="D38:E38"/>
    <mergeCell ref="F38:J38"/>
    <mergeCell ref="D39:J39"/>
    <mergeCell ref="D36:J36"/>
    <mergeCell ref="F37:J37"/>
    <mergeCell ref="B34:C34"/>
    <mergeCell ref="D34:E34"/>
    <mergeCell ref="F34:J34"/>
    <mergeCell ref="D35:J35"/>
    <mergeCell ref="A31:J31"/>
    <mergeCell ref="A32:J32"/>
    <mergeCell ref="B33:C33"/>
    <mergeCell ref="F33:J33"/>
    <mergeCell ref="E2:G2"/>
    <mergeCell ref="H2:J2"/>
    <mergeCell ref="A4:J4"/>
    <mergeCell ref="A5:J5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Cody Mills</cp:lastModifiedBy>
  <cp:lastPrinted>2002-05-06T20:35:32Z</cp:lastPrinted>
  <dcterms:created xsi:type="dcterms:W3CDTF">1998-04-22T03:04:46Z</dcterms:created>
  <dcterms:modified xsi:type="dcterms:W3CDTF">2008-04-08T04:54:58Z</dcterms:modified>
  <cp:category/>
  <cp:version/>
  <cp:contentType/>
  <cp:contentStatus/>
</cp:coreProperties>
</file>